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509898\Desktop\"/>
    </mc:Choice>
  </mc:AlternateContent>
  <xr:revisionPtr revIDLastSave="0" documentId="8_{1D740890-9EA7-4999-A7BC-74C1F79C8A1A}" xr6:coauthVersionLast="47" xr6:coauthVersionMax="47" xr10:uidLastSave="{00000000-0000-0000-0000-000000000000}"/>
  <bookViews>
    <workbookView xWindow="-28920" yWindow="-120" windowWidth="29040" windowHeight="17520" activeTab="1" xr2:uid="{98CF80CD-44B9-4AEE-802E-1FE374978BD1}"/>
  </bookViews>
  <sheets>
    <sheet name="README" sheetId="2" r:id="rId1"/>
    <sheet name="BLE" sheetId="1" r:id="rId2"/>
    <sheet name="CC23XX Power Computation Sheet" sheetId="6" state="hidden" r:id="rId3"/>
    <sheet name="CC2745R10 Peripheral Con GLDO" sheetId="18" state="hidden" r:id="rId4"/>
    <sheet name="Graph values" sheetId="13" state="hidden" r:id="rId5"/>
    <sheet name="CC2745R10 GLDO" sheetId="17" state="hidden" r:id="rId6"/>
    <sheet name="CC2745R10 DCDC" sheetId="5" state="hidden" r:id="rId7"/>
    <sheet name="CC2745R10 Peripheral Con DCDC" sheetId="12" state="hidden" r:id="rId8"/>
    <sheet name="Data Collection Plan" sheetId="3" state="hidden" r:id="rId9"/>
    <sheet name="CC2745R10 Central scan DCDC" sheetId="14" state="hidden" r:id="rId10"/>
    <sheet name="CC2745R10 Central Connect DCDC" sheetId="15" state="hidden" r:id="rId11"/>
    <sheet name="Data For Display" sheetId="9" state="hidden" r:id="rId12"/>
  </sheets>
  <externalReferences>
    <externalReference r:id="rId13"/>
  </externalReferences>
  <definedNames>
    <definedName name="_xlnm._FilterDatabase" localSheetId="1" hidden="1">BLE!$B$3:$D$12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7" i="17" l="1"/>
  <c r="X16" i="17"/>
  <c r="X12" i="17"/>
  <c r="X8" i="17"/>
  <c r="X4" i="17"/>
  <c r="W4" i="17"/>
  <c r="W5" i="17"/>
  <c r="W6" i="17"/>
  <c r="W7" i="17"/>
  <c r="W8" i="17"/>
  <c r="W9" i="17"/>
  <c r="W10" i="17"/>
  <c r="W11" i="17"/>
  <c r="W12" i="17"/>
  <c r="W13" i="17"/>
  <c r="W14" i="17"/>
  <c r="W15" i="17"/>
  <c r="W16" i="17"/>
  <c r="W17" i="17"/>
  <c r="AG19" i="17"/>
  <c r="AH19" i="17"/>
  <c r="AI19" i="17"/>
  <c r="AJ19" i="17"/>
  <c r="AG20" i="17"/>
  <c r="AH20" i="17"/>
  <c r="AI20" i="17"/>
  <c r="AJ20" i="17"/>
  <c r="AF19" i="17"/>
  <c r="AF20" i="17"/>
  <c r="AE19" i="17"/>
  <c r="AE20" i="17"/>
  <c r="AD19" i="17"/>
  <c r="AD20" i="17"/>
  <c r="AD17" i="17"/>
  <c r="AE17" i="17"/>
  <c r="AF17" i="17"/>
  <c r="AG17" i="17"/>
  <c r="AH17" i="17"/>
  <c r="AI17" i="17"/>
  <c r="AJ17" i="17"/>
  <c r="AD18" i="17"/>
  <c r="AE18" i="17"/>
  <c r="AF18" i="17"/>
  <c r="AG18" i="17"/>
  <c r="AH18" i="17"/>
  <c r="AI18" i="17"/>
  <c r="AJ18" i="17"/>
  <c r="AD16" i="17"/>
  <c r="AE16" i="17"/>
  <c r="AF16" i="17"/>
  <c r="AG16" i="17"/>
  <c r="AH16" i="17"/>
  <c r="AI16" i="17"/>
  <c r="AJ16" i="17"/>
  <c r="AD21" i="17"/>
  <c r="AE21" i="17"/>
  <c r="AF21" i="17"/>
  <c r="AG21" i="17"/>
  <c r="AH21" i="17"/>
  <c r="AI21" i="17"/>
  <c r="AJ21" i="17"/>
  <c r="AD22" i="17"/>
  <c r="AE22" i="17"/>
  <c r="AF22" i="17"/>
  <c r="AG22" i="17"/>
  <c r="AH22" i="17"/>
  <c r="AI22" i="17"/>
  <c r="AJ22" i="17"/>
  <c r="AD23" i="17"/>
  <c r="AE23" i="17"/>
  <c r="AF23" i="17"/>
  <c r="AG23" i="17"/>
  <c r="AH23" i="17"/>
  <c r="AI23" i="17"/>
  <c r="AJ23" i="17"/>
  <c r="AD24" i="17"/>
  <c r="AE24" i="17"/>
  <c r="AF24" i="17"/>
  <c r="AG24" i="17"/>
  <c r="AH24" i="17"/>
  <c r="AI24" i="17"/>
  <c r="AJ24" i="17"/>
  <c r="AD25" i="17"/>
  <c r="AE25" i="17"/>
  <c r="AF25" i="17"/>
  <c r="AG25" i="17"/>
  <c r="AH25" i="17"/>
  <c r="AI25" i="17"/>
  <c r="AJ25" i="17"/>
  <c r="AD26" i="17"/>
  <c r="AE26" i="17"/>
  <c r="AF26" i="17"/>
  <c r="AG26" i="17"/>
  <c r="AH26" i="17"/>
  <c r="AI26" i="17"/>
  <c r="AJ26" i="17"/>
  <c r="AC22" i="17"/>
  <c r="AC23" i="17"/>
  <c r="AC24" i="17"/>
  <c r="AC25" i="17"/>
  <c r="AC26" i="17"/>
  <c r="AC21" i="17"/>
  <c r="AC16" i="17"/>
  <c r="AC17" i="17"/>
  <c r="AC18" i="17"/>
  <c r="AC19" i="17"/>
  <c r="AB21" i="17"/>
  <c r="AB22" i="17"/>
  <c r="AB23" i="17"/>
  <c r="AB24" i="17"/>
  <c r="AB25" i="17"/>
  <c r="AB26" i="17"/>
  <c r="AB20" i="17"/>
  <c r="AB18" i="17"/>
  <c r="AB19" i="17"/>
  <c r="AC29" i="17"/>
  <c r="AE68" i="17"/>
  <c r="AE69" i="17"/>
  <c r="AE70" i="17"/>
  <c r="AE71" i="17"/>
  <c r="AE73" i="17"/>
  <c r="AE74" i="17"/>
  <c r="Z11" i="18" s="1"/>
  <c r="AE75" i="17"/>
  <c r="Z12" i="18" s="1"/>
  <c r="AE76" i="17"/>
  <c r="Z13" i="18" s="1"/>
  <c r="AE77" i="17"/>
  <c r="Z14" i="18" s="1"/>
  <c r="AE78" i="17"/>
  <c r="Z15" i="18" s="1"/>
  <c r="AI68" i="17"/>
  <c r="AI69" i="17"/>
  <c r="AI70" i="17"/>
  <c r="AI71" i="17"/>
  <c r="AI73" i="17"/>
  <c r="AI74" i="17"/>
  <c r="AI75" i="17"/>
  <c r="AI76" i="17"/>
  <c r="AI77" i="17"/>
  <c r="AI78" i="17"/>
  <c r="AJ68" i="17"/>
  <c r="AJ69" i="17"/>
  <c r="AJ70" i="17"/>
  <c r="AJ71" i="17"/>
  <c r="AJ73" i="17"/>
  <c r="AJ74" i="17"/>
  <c r="AJ75" i="17"/>
  <c r="AJ76" i="17"/>
  <c r="AJ77" i="17"/>
  <c r="AJ78" i="17"/>
  <c r="AF68" i="17"/>
  <c r="AG68" i="17"/>
  <c r="AF69" i="17"/>
  <c r="AG69" i="17"/>
  <c r="AF70" i="17"/>
  <c r="AG70" i="17"/>
  <c r="AF71" i="17"/>
  <c r="AG71" i="17"/>
  <c r="AF73" i="17"/>
  <c r="AG73" i="17"/>
  <c r="AF74" i="17"/>
  <c r="AG74" i="17"/>
  <c r="AF75" i="17"/>
  <c r="AG75" i="17"/>
  <c r="AF76" i="17"/>
  <c r="AG76" i="17"/>
  <c r="AF77" i="17"/>
  <c r="AG77" i="17"/>
  <c r="AF78" i="17"/>
  <c r="AG78" i="17"/>
  <c r="P33" i="18"/>
  <c r="P32" i="18"/>
  <c r="O36" i="18"/>
  <c r="O35" i="18"/>
  <c r="O34" i="18"/>
  <c r="O33" i="18"/>
  <c r="Q33" i="18" s="1"/>
  <c r="P36" i="18"/>
  <c r="P31" i="18"/>
  <c r="O32" i="18"/>
  <c r="O31" i="18"/>
  <c r="AB5" i="18"/>
  <c r="AB6" i="18"/>
  <c r="AB7" i="18"/>
  <c r="AB8" i="18"/>
  <c r="AB9" i="18"/>
  <c r="AB10" i="18"/>
  <c r="AB11" i="18"/>
  <c r="AB12" i="18"/>
  <c r="AB13" i="18"/>
  <c r="AB14" i="18"/>
  <c r="AB15" i="18"/>
  <c r="AC8" i="18"/>
  <c r="AC9" i="18"/>
  <c r="P9" i="18"/>
  <c r="P6" i="18"/>
  <c r="P5" i="18"/>
  <c r="P4" i="18"/>
  <c r="Z5" i="18"/>
  <c r="Z6" i="18"/>
  <c r="Z7" i="18"/>
  <c r="P7" i="18" s="1"/>
  <c r="Z8" i="18"/>
  <c r="Z10" i="18"/>
  <c r="AA5" i="18"/>
  <c r="AA6" i="18"/>
  <c r="AA7" i="18"/>
  <c r="AA8" i="18"/>
  <c r="AA10" i="18"/>
  <c r="AA11" i="18"/>
  <c r="AA12" i="18"/>
  <c r="AA14" i="18"/>
  <c r="AA15" i="18"/>
  <c r="S151" i="18"/>
  <c r="S152" i="18" s="1"/>
  <c r="O151" i="18"/>
  <c r="O152" i="18" s="1"/>
  <c r="K151" i="18"/>
  <c r="K152" i="18" s="1"/>
  <c r="G151" i="18"/>
  <c r="C151" i="18"/>
  <c r="U149" i="18"/>
  <c r="Q149" i="18"/>
  <c r="M149" i="18"/>
  <c r="I149" i="18"/>
  <c r="E149" i="18"/>
  <c r="U148" i="18"/>
  <c r="Q148" i="18"/>
  <c r="M148" i="18"/>
  <c r="I148" i="18"/>
  <c r="E148" i="18"/>
  <c r="U147" i="18"/>
  <c r="Q147" i="18"/>
  <c r="M147" i="18"/>
  <c r="I147" i="18"/>
  <c r="E147" i="18"/>
  <c r="U146" i="18"/>
  <c r="Q146" i="18"/>
  <c r="M146" i="18"/>
  <c r="I146" i="18"/>
  <c r="E146" i="18"/>
  <c r="U145" i="18"/>
  <c r="Q145" i="18"/>
  <c r="M145" i="18"/>
  <c r="I145" i="18"/>
  <c r="E145" i="18"/>
  <c r="U144" i="18"/>
  <c r="Q144" i="18"/>
  <c r="M144" i="18"/>
  <c r="I144" i="18"/>
  <c r="E144" i="18"/>
  <c r="U143" i="18"/>
  <c r="Q143" i="18"/>
  <c r="M143" i="18"/>
  <c r="I143" i="18"/>
  <c r="E143" i="18"/>
  <c r="U142" i="18"/>
  <c r="Q142" i="18"/>
  <c r="M142" i="18"/>
  <c r="I142" i="18"/>
  <c r="E142" i="18"/>
  <c r="U141" i="18"/>
  <c r="Q141" i="18"/>
  <c r="M141" i="18"/>
  <c r="I141" i="18"/>
  <c r="E141" i="18"/>
  <c r="U140" i="18"/>
  <c r="Q140" i="18"/>
  <c r="M140" i="18"/>
  <c r="I140" i="18"/>
  <c r="E140" i="18"/>
  <c r="U139" i="18"/>
  <c r="Q139" i="18"/>
  <c r="M139" i="18"/>
  <c r="I139" i="18"/>
  <c r="E139" i="18"/>
  <c r="U138" i="18"/>
  <c r="Q138" i="18"/>
  <c r="M138" i="18"/>
  <c r="I138" i="18"/>
  <c r="E138" i="18"/>
  <c r="U137" i="18"/>
  <c r="Q137" i="18"/>
  <c r="M137" i="18"/>
  <c r="I137" i="18"/>
  <c r="E137" i="18"/>
  <c r="C152" i="18" s="1"/>
  <c r="U136" i="18"/>
  <c r="Q136" i="18"/>
  <c r="M136" i="18"/>
  <c r="I136" i="18"/>
  <c r="E136" i="18"/>
  <c r="S127" i="18"/>
  <c r="O127" i="18"/>
  <c r="K127" i="18"/>
  <c r="G127" i="18"/>
  <c r="C127" i="18"/>
  <c r="U125" i="18"/>
  <c r="Q125" i="18"/>
  <c r="M125" i="18"/>
  <c r="I125" i="18"/>
  <c r="E125" i="18"/>
  <c r="U124" i="18"/>
  <c r="Q124" i="18"/>
  <c r="M124" i="18"/>
  <c r="I124" i="18"/>
  <c r="E124" i="18"/>
  <c r="U123" i="18"/>
  <c r="Q123" i="18"/>
  <c r="M123" i="18"/>
  <c r="I123" i="18"/>
  <c r="E123" i="18"/>
  <c r="U122" i="18"/>
  <c r="Q122" i="18"/>
  <c r="M122" i="18"/>
  <c r="I122" i="18"/>
  <c r="E122" i="18"/>
  <c r="U121" i="18"/>
  <c r="Q121" i="18"/>
  <c r="M121" i="18"/>
  <c r="I121" i="18"/>
  <c r="E121" i="18"/>
  <c r="U120" i="18"/>
  <c r="Q120" i="18"/>
  <c r="M120" i="18"/>
  <c r="I120" i="18"/>
  <c r="E120" i="18"/>
  <c r="U119" i="18"/>
  <c r="Q119" i="18"/>
  <c r="M119" i="18"/>
  <c r="I119" i="18"/>
  <c r="E119" i="18"/>
  <c r="U118" i="18"/>
  <c r="Q118" i="18"/>
  <c r="M118" i="18"/>
  <c r="I118" i="18"/>
  <c r="E118" i="18"/>
  <c r="U117" i="18"/>
  <c r="Q117" i="18"/>
  <c r="M117" i="18"/>
  <c r="I117" i="18"/>
  <c r="E117" i="18"/>
  <c r="U116" i="18"/>
  <c r="Q116" i="18"/>
  <c r="M116" i="18"/>
  <c r="I116" i="18"/>
  <c r="E116" i="18"/>
  <c r="U115" i="18"/>
  <c r="Q115" i="18"/>
  <c r="M115" i="18"/>
  <c r="I115" i="18"/>
  <c r="E115" i="18"/>
  <c r="U114" i="18"/>
  <c r="Q114" i="18"/>
  <c r="M114" i="18"/>
  <c r="I114" i="18"/>
  <c r="E114" i="18"/>
  <c r="U113" i="18"/>
  <c r="Q113" i="18"/>
  <c r="M113" i="18"/>
  <c r="I113" i="18"/>
  <c r="E113" i="18"/>
  <c r="U112" i="18"/>
  <c r="Q112" i="18"/>
  <c r="M112" i="18"/>
  <c r="I112" i="18"/>
  <c r="E112" i="18"/>
  <c r="K101" i="18"/>
  <c r="G101" i="18"/>
  <c r="C101" i="18"/>
  <c r="C102" i="18" s="1"/>
  <c r="M99" i="18"/>
  <c r="I99" i="18"/>
  <c r="E99" i="18"/>
  <c r="M98" i="18"/>
  <c r="I98" i="18"/>
  <c r="E98" i="18"/>
  <c r="M97" i="18"/>
  <c r="I97" i="18"/>
  <c r="E97" i="18"/>
  <c r="M96" i="18"/>
  <c r="I96" i="18"/>
  <c r="E96" i="18"/>
  <c r="M95" i="18"/>
  <c r="I95" i="18"/>
  <c r="E95" i="18"/>
  <c r="M94" i="18"/>
  <c r="I94" i="18"/>
  <c r="E94" i="18"/>
  <c r="M93" i="18"/>
  <c r="I93" i="18"/>
  <c r="E93" i="18"/>
  <c r="M92" i="18"/>
  <c r="I92" i="18"/>
  <c r="E92" i="18"/>
  <c r="M91" i="18"/>
  <c r="I91" i="18"/>
  <c r="E91" i="18"/>
  <c r="M90" i="18"/>
  <c r="I90" i="18"/>
  <c r="E90" i="18"/>
  <c r="M89" i="18"/>
  <c r="I89" i="18"/>
  <c r="E89" i="18"/>
  <c r="M88" i="18"/>
  <c r="I88" i="18"/>
  <c r="E88" i="18"/>
  <c r="M87" i="18"/>
  <c r="I87" i="18"/>
  <c r="E87" i="18"/>
  <c r="M86" i="18"/>
  <c r="K102" i="18" s="1"/>
  <c r="I86" i="18"/>
  <c r="E86" i="18"/>
  <c r="K74" i="18"/>
  <c r="G74" i="18"/>
  <c r="C74" i="18"/>
  <c r="M72" i="18"/>
  <c r="I72" i="18"/>
  <c r="E72" i="18"/>
  <c r="M71" i="18"/>
  <c r="I71" i="18"/>
  <c r="E71" i="18"/>
  <c r="M70" i="18"/>
  <c r="I70" i="18"/>
  <c r="E70" i="18"/>
  <c r="M69" i="18"/>
  <c r="I69" i="18"/>
  <c r="E69" i="18"/>
  <c r="M68" i="18"/>
  <c r="I68" i="18"/>
  <c r="E68" i="18"/>
  <c r="M67" i="18"/>
  <c r="I67" i="18"/>
  <c r="E67" i="18"/>
  <c r="M66" i="18"/>
  <c r="I66" i="18"/>
  <c r="E66" i="18"/>
  <c r="M65" i="18"/>
  <c r="I65" i="18"/>
  <c r="E65" i="18"/>
  <c r="M64" i="18"/>
  <c r="I64" i="18"/>
  <c r="E64" i="18"/>
  <c r="M63" i="18"/>
  <c r="I63" i="18"/>
  <c r="E63" i="18"/>
  <c r="M62" i="18"/>
  <c r="I62" i="18"/>
  <c r="E62" i="18"/>
  <c r="M61" i="18"/>
  <c r="I61" i="18"/>
  <c r="E61" i="18"/>
  <c r="M60" i="18"/>
  <c r="I60" i="18"/>
  <c r="E60" i="18"/>
  <c r="M59" i="18"/>
  <c r="I59" i="18"/>
  <c r="E59" i="18"/>
  <c r="Q49" i="18"/>
  <c r="E49" i="18"/>
  <c r="K46" i="18"/>
  <c r="K47" i="18" s="1"/>
  <c r="G46" i="18"/>
  <c r="G47" i="18" s="1"/>
  <c r="C46" i="18"/>
  <c r="C47" i="18" s="1"/>
  <c r="Q44" i="18"/>
  <c r="M44" i="18"/>
  <c r="I44" i="18"/>
  <c r="E44" i="18"/>
  <c r="Q43" i="18"/>
  <c r="M43" i="18"/>
  <c r="I43" i="18"/>
  <c r="E43" i="18"/>
  <c r="Q42" i="18"/>
  <c r="M42" i="18"/>
  <c r="I42" i="18"/>
  <c r="E42" i="18"/>
  <c r="Q41" i="18"/>
  <c r="M41" i="18"/>
  <c r="I41" i="18"/>
  <c r="E41" i="18"/>
  <c r="Q40" i="18"/>
  <c r="M40" i="18"/>
  <c r="I40" i="18"/>
  <c r="E40" i="18"/>
  <c r="Q39" i="18"/>
  <c r="M39" i="18"/>
  <c r="I39" i="18"/>
  <c r="E39" i="18"/>
  <c r="Q38" i="18"/>
  <c r="M38" i="18"/>
  <c r="I38" i="18"/>
  <c r="E38" i="18"/>
  <c r="Q37" i="18"/>
  <c r="M37" i="18"/>
  <c r="I37" i="18"/>
  <c r="E37" i="18"/>
  <c r="M36" i="18"/>
  <c r="I36" i="18"/>
  <c r="E36" i="18"/>
  <c r="M35" i="18"/>
  <c r="I35" i="18"/>
  <c r="E35" i="18"/>
  <c r="P34" i="18"/>
  <c r="M34" i="18"/>
  <c r="I34" i="18"/>
  <c r="E34" i="18"/>
  <c r="M33" i="18"/>
  <c r="I33" i="18"/>
  <c r="E33" i="18"/>
  <c r="M32" i="18"/>
  <c r="I32" i="18"/>
  <c r="E32" i="18"/>
  <c r="M31" i="18"/>
  <c r="I31" i="18"/>
  <c r="E31" i="18"/>
  <c r="V22" i="18"/>
  <c r="Q22" i="18"/>
  <c r="K19" i="18"/>
  <c r="G19" i="18"/>
  <c r="C19" i="18"/>
  <c r="V17" i="18"/>
  <c r="Q17" i="18"/>
  <c r="M17" i="18"/>
  <c r="I17" i="18"/>
  <c r="E17" i="18"/>
  <c r="V16" i="18"/>
  <c r="Q16" i="18"/>
  <c r="M16" i="18"/>
  <c r="I16" i="18"/>
  <c r="E16" i="18"/>
  <c r="V15" i="18"/>
  <c r="Q15" i="18"/>
  <c r="M15" i="18"/>
  <c r="I15" i="18"/>
  <c r="E15" i="18"/>
  <c r="V14" i="18"/>
  <c r="Q14" i="18"/>
  <c r="M14" i="18"/>
  <c r="I14" i="18"/>
  <c r="E14" i="18"/>
  <c r="V13" i="18"/>
  <c r="Q13" i="18"/>
  <c r="M13" i="18"/>
  <c r="I13" i="18"/>
  <c r="E13" i="18"/>
  <c r="V12" i="18"/>
  <c r="Q12" i="18"/>
  <c r="M12" i="18"/>
  <c r="I12" i="18"/>
  <c r="E12" i="18"/>
  <c r="V11" i="18"/>
  <c r="Q11" i="18"/>
  <c r="M11" i="18"/>
  <c r="I11" i="18"/>
  <c r="E11" i="18"/>
  <c r="V10" i="18"/>
  <c r="Q10" i="18"/>
  <c r="M10" i="18"/>
  <c r="I10" i="18"/>
  <c r="E10" i="18"/>
  <c r="O9" i="18"/>
  <c r="M9" i="18"/>
  <c r="I9" i="18"/>
  <c r="E9" i="18"/>
  <c r="O8" i="18"/>
  <c r="M8" i="18"/>
  <c r="I8" i="18"/>
  <c r="E8" i="18"/>
  <c r="P8" i="18"/>
  <c r="O7" i="18"/>
  <c r="M7" i="18"/>
  <c r="I7" i="18"/>
  <c r="E7" i="18"/>
  <c r="O6" i="18"/>
  <c r="M6" i="18"/>
  <c r="I6" i="18"/>
  <c r="E6" i="18"/>
  <c r="O5" i="18"/>
  <c r="M5" i="18"/>
  <c r="I5" i="18"/>
  <c r="E5" i="18"/>
  <c r="O4" i="18"/>
  <c r="M4" i="18"/>
  <c r="I4" i="18"/>
  <c r="E4" i="18"/>
  <c r="W2" i="18"/>
  <c r="T1" i="18"/>
  <c r="U4" i="18" s="1"/>
  <c r="AB77" i="17"/>
  <c r="B5" i="6"/>
  <c r="D5" i="6" s="1"/>
  <c r="F6" i="6" s="1"/>
  <c r="G6" i="6" s="1"/>
  <c r="B6" i="6"/>
  <c r="U9" i="18" l="1"/>
  <c r="T9" i="18"/>
  <c r="T6" i="18"/>
  <c r="U5" i="18"/>
  <c r="U8" i="18"/>
  <c r="U7" i="18"/>
  <c r="Q32" i="18"/>
  <c r="Q36" i="18"/>
  <c r="Q31" i="18"/>
  <c r="K20" i="18"/>
  <c r="S128" i="18"/>
  <c r="K75" i="18"/>
  <c r="O128" i="18"/>
  <c r="K128" i="18"/>
  <c r="C20" i="18"/>
  <c r="Q6" i="18"/>
  <c r="G102" i="18"/>
  <c r="G75" i="18"/>
  <c r="G152" i="18"/>
  <c r="G128" i="18"/>
  <c r="C75" i="18"/>
  <c r="C128" i="18"/>
  <c r="Q34" i="18"/>
  <c r="Q8" i="18"/>
  <c r="Q7" i="18"/>
  <c r="Q5" i="18"/>
  <c r="T8" i="18"/>
  <c r="G20" i="18"/>
  <c r="O19" i="18"/>
  <c r="Q4" i="18"/>
  <c r="U6" i="18"/>
  <c r="T7" i="18"/>
  <c r="O46" i="18"/>
  <c r="T4" i="18"/>
  <c r="Q9" i="18"/>
  <c r="T5" i="18"/>
  <c r="B3" i="6"/>
  <c r="S154" i="17"/>
  <c r="O154" i="17"/>
  <c r="K154" i="17"/>
  <c r="G154" i="17"/>
  <c r="C154" i="17"/>
  <c r="U152" i="17"/>
  <c r="Q152" i="17"/>
  <c r="M152" i="17"/>
  <c r="I152" i="17"/>
  <c r="E152" i="17"/>
  <c r="U151" i="17"/>
  <c r="Q151" i="17"/>
  <c r="M151" i="17"/>
  <c r="I151" i="17"/>
  <c r="E151" i="17"/>
  <c r="U150" i="17"/>
  <c r="Q150" i="17"/>
  <c r="M150" i="17"/>
  <c r="I150" i="17"/>
  <c r="E150" i="17"/>
  <c r="U149" i="17"/>
  <c r="Q149" i="17"/>
  <c r="M149" i="17"/>
  <c r="I149" i="17"/>
  <c r="E149" i="17"/>
  <c r="U148" i="17"/>
  <c r="Q148" i="17"/>
  <c r="M148" i="17"/>
  <c r="I148" i="17"/>
  <c r="E148" i="17"/>
  <c r="U147" i="17"/>
  <c r="Q147" i="17"/>
  <c r="M147" i="17"/>
  <c r="I147" i="17"/>
  <c r="E147" i="17"/>
  <c r="U146" i="17"/>
  <c r="Q146" i="17"/>
  <c r="M146" i="17"/>
  <c r="I146" i="17"/>
  <c r="E146" i="17"/>
  <c r="U145" i="17"/>
  <c r="Q145" i="17"/>
  <c r="M145" i="17"/>
  <c r="I145" i="17"/>
  <c r="E145" i="17"/>
  <c r="U144" i="17"/>
  <c r="Q144" i="17"/>
  <c r="M144" i="17"/>
  <c r="I144" i="17"/>
  <c r="E144" i="17"/>
  <c r="U143" i="17"/>
  <c r="Q143" i="17"/>
  <c r="M143" i="17"/>
  <c r="I143" i="17"/>
  <c r="E143" i="17"/>
  <c r="U142" i="17"/>
  <c r="Q142" i="17"/>
  <c r="M142" i="17"/>
  <c r="I142" i="17"/>
  <c r="E142" i="17"/>
  <c r="U141" i="17"/>
  <c r="Q141" i="17"/>
  <c r="M141" i="17"/>
  <c r="I141" i="17"/>
  <c r="E141" i="17"/>
  <c r="U140" i="17"/>
  <c r="Q140" i="17"/>
  <c r="M140" i="17"/>
  <c r="I140" i="17"/>
  <c r="E140" i="17"/>
  <c r="U139" i="17"/>
  <c r="Q139" i="17"/>
  <c r="M139" i="17"/>
  <c r="I139" i="17"/>
  <c r="E139" i="17"/>
  <c r="S103" i="17"/>
  <c r="O103" i="17"/>
  <c r="K103" i="17"/>
  <c r="G103" i="17"/>
  <c r="C103" i="17"/>
  <c r="U101" i="17"/>
  <c r="Q101" i="17"/>
  <c r="M101" i="17"/>
  <c r="I101" i="17"/>
  <c r="E101" i="17"/>
  <c r="U100" i="17"/>
  <c r="Q100" i="17"/>
  <c r="M100" i="17"/>
  <c r="I100" i="17"/>
  <c r="E100" i="17"/>
  <c r="U99" i="17"/>
  <c r="Q99" i="17"/>
  <c r="M99" i="17"/>
  <c r="I99" i="17"/>
  <c r="E99" i="17"/>
  <c r="U98" i="17"/>
  <c r="Q98" i="17"/>
  <c r="M98" i="17"/>
  <c r="I98" i="17"/>
  <c r="E98" i="17"/>
  <c r="U97" i="17"/>
  <c r="Q97" i="17"/>
  <c r="M97" i="17"/>
  <c r="I97" i="17"/>
  <c r="E97" i="17"/>
  <c r="U96" i="17"/>
  <c r="Q96" i="17"/>
  <c r="M96" i="17"/>
  <c r="I96" i="17"/>
  <c r="E96" i="17"/>
  <c r="U95" i="17"/>
  <c r="Q95" i="17"/>
  <c r="M95" i="17"/>
  <c r="I95" i="17"/>
  <c r="E95" i="17"/>
  <c r="U94" i="17"/>
  <c r="Q94" i="17"/>
  <c r="M94" i="17"/>
  <c r="I94" i="17"/>
  <c r="E94" i="17"/>
  <c r="U93" i="17"/>
  <c r="Q93" i="17"/>
  <c r="M93" i="17"/>
  <c r="I93" i="17"/>
  <c r="E93" i="17"/>
  <c r="U92" i="17"/>
  <c r="Q92" i="17"/>
  <c r="M92" i="17"/>
  <c r="I92" i="17"/>
  <c r="E92" i="17"/>
  <c r="U91" i="17"/>
  <c r="Q91" i="17"/>
  <c r="M91" i="17"/>
  <c r="I91" i="17"/>
  <c r="E91" i="17"/>
  <c r="U90" i="17"/>
  <c r="Q90" i="17"/>
  <c r="M90" i="17"/>
  <c r="I90" i="17"/>
  <c r="E90" i="17"/>
  <c r="U89" i="17"/>
  <c r="Q89" i="17"/>
  <c r="M89" i="17"/>
  <c r="I89" i="17"/>
  <c r="E89" i="17"/>
  <c r="U88" i="17"/>
  <c r="Q88" i="17"/>
  <c r="M88" i="17"/>
  <c r="I88" i="17"/>
  <c r="E88" i="17"/>
  <c r="AH78" i="17"/>
  <c r="AD78" i="17"/>
  <c r="AC78" i="17"/>
  <c r="AB78" i="17"/>
  <c r="Y78" i="17"/>
  <c r="AB61" i="17" s="1"/>
  <c r="X78" i="17"/>
  <c r="AH77" i="17"/>
  <c r="AD77" i="17"/>
  <c r="AC77" i="17"/>
  <c r="AH76" i="17"/>
  <c r="AD76" i="17"/>
  <c r="AC76" i="17"/>
  <c r="AA13" i="18" s="1"/>
  <c r="AB76" i="17"/>
  <c r="AH75" i="17"/>
  <c r="AD75" i="17"/>
  <c r="AC75" i="17"/>
  <c r="AB75" i="17"/>
  <c r="S75" i="17"/>
  <c r="O75" i="17"/>
  <c r="K75" i="17"/>
  <c r="G75" i="17"/>
  <c r="C75" i="17"/>
  <c r="AH74" i="17"/>
  <c r="AD74" i="17"/>
  <c r="AC74" i="17"/>
  <c r="AB74" i="17"/>
  <c r="AH73" i="17"/>
  <c r="AD73" i="17"/>
  <c r="AC73" i="17"/>
  <c r="AB73" i="17"/>
  <c r="X73" i="17"/>
  <c r="W73" i="17"/>
  <c r="U73" i="17"/>
  <c r="Q73" i="17"/>
  <c r="M73" i="17"/>
  <c r="I73" i="17"/>
  <c r="E73" i="17"/>
  <c r="AH72" i="17"/>
  <c r="AE72" i="17" s="1"/>
  <c r="Z9" i="18" s="1"/>
  <c r="AD72" i="17"/>
  <c r="AG72" i="17" s="1"/>
  <c r="AJ72" i="17" s="1"/>
  <c r="AC72" i="17"/>
  <c r="AB72" i="17"/>
  <c r="X72" i="17"/>
  <c r="W72" i="17"/>
  <c r="U72" i="17"/>
  <c r="Q72" i="17"/>
  <c r="M72" i="17"/>
  <c r="I72" i="17"/>
  <c r="E72" i="17"/>
  <c r="AH71" i="17"/>
  <c r="AD71" i="17"/>
  <c r="AC71" i="17"/>
  <c r="AB71" i="17"/>
  <c r="W71" i="17"/>
  <c r="U71" i="17"/>
  <c r="Q71" i="17"/>
  <c r="M71" i="17"/>
  <c r="I71" i="17"/>
  <c r="E71" i="17"/>
  <c r="AH70" i="17"/>
  <c r="AD70" i="17"/>
  <c r="AC70" i="17"/>
  <c r="AB70" i="17"/>
  <c r="W70" i="17"/>
  <c r="U70" i="17"/>
  <c r="Q70" i="17"/>
  <c r="M70" i="17"/>
  <c r="I70" i="17"/>
  <c r="E70" i="17"/>
  <c r="AH69" i="17"/>
  <c r="AD69" i="17"/>
  <c r="AC69" i="17"/>
  <c r="AB69" i="17"/>
  <c r="W69" i="17"/>
  <c r="U69" i="17"/>
  <c r="Q69" i="17"/>
  <c r="M69" i="17"/>
  <c r="I69" i="17"/>
  <c r="E69" i="17"/>
  <c r="AH68" i="17"/>
  <c r="AD68" i="17"/>
  <c r="AC68" i="17"/>
  <c r="AB68" i="17"/>
  <c r="X68" i="17"/>
  <c r="W68" i="17"/>
  <c r="U68" i="17"/>
  <c r="Q68" i="17"/>
  <c r="M68" i="17"/>
  <c r="I68" i="17"/>
  <c r="E68" i="17"/>
  <c r="W67" i="17"/>
  <c r="U67" i="17"/>
  <c r="Q67" i="17"/>
  <c r="M67" i="17"/>
  <c r="I67" i="17"/>
  <c r="E67" i="17"/>
  <c r="W66" i="17"/>
  <c r="U66" i="17"/>
  <c r="Q66" i="17"/>
  <c r="M66" i="17"/>
  <c r="I66" i="17"/>
  <c r="E66" i="17"/>
  <c r="W65" i="17"/>
  <c r="U65" i="17"/>
  <c r="Q65" i="17"/>
  <c r="M65" i="17"/>
  <c r="I65" i="17"/>
  <c r="E65" i="17"/>
  <c r="X64" i="17"/>
  <c r="W64" i="17"/>
  <c r="U64" i="17"/>
  <c r="Q64" i="17"/>
  <c r="M64" i="17"/>
  <c r="I64" i="17"/>
  <c r="E64" i="17"/>
  <c r="W63" i="17"/>
  <c r="U63" i="17"/>
  <c r="Q63" i="17"/>
  <c r="M63" i="17"/>
  <c r="I63" i="17"/>
  <c r="E63" i="17"/>
  <c r="W62" i="17"/>
  <c r="U62" i="17"/>
  <c r="Q62" i="17"/>
  <c r="M62" i="17"/>
  <c r="I62" i="17"/>
  <c r="E62" i="17"/>
  <c r="W61" i="17"/>
  <c r="U61" i="17"/>
  <c r="Q61" i="17"/>
  <c r="M61" i="17"/>
  <c r="I61" i="17"/>
  <c r="E61" i="17"/>
  <c r="X60" i="17"/>
  <c r="W60" i="17"/>
  <c r="U60" i="17"/>
  <c r="Q60" i="17"/>
  <c r="M60" i="17"/>
  <c r="I60" i="17"/>
  <c r="E60" i="17"/>
  <c r="W58" i="17"/>
  <c r="X65" i="17" s="1"/>
  <c r="U49" i="17"/>
  <c r="W46" i="17"/>
  <c r="S46" i="17"/>
  <c r="O46" i="17"/>
  <c r="K46" i="17"/>
  <c r="G46" i="17"/>
  <c r="C46" i="17"/>
  <c r="Y44" i="17"/>
  <c r="U44" i="17"/>
  <c r="Q44" i="17"/>
  <c r="M44" i="17"/>
  <c r="I44" i="17"/>
  <c r="E44" i="17"/>
  <c r="Y43" i="17"/>
  <c r="U43" i="17"/>
  <c r="Q43" i="17"/>
  <c r="M43" i="17"/>
  <c r="I43" i="17"/>
  <c r="E43" i="17"/>
  <c r="Y42" i="17"/>
  <c r="U42" i="17"/>
  <c r="Q42" i="17"/>
  <c r="M42" i="17"/>
  <c r="I42" i="17"/>
  <c r="E42" i="17"/>
  <c r="Y41" i="17"/>
  <c r="U41" i="17"/>
  <c r="Q41" i="17"/>
  <c r="M41" i="17"/>
  <c r="I41" i="17"/>
  <c r="E41" i="17"/>
  <c r="Y40" i="17"/>
  <c r="U40" i="17"/>
  <c r="Q40" i="17"/>
  <c r="M40" i="17"/>
  <c r="I40" i="17"/>
  <c r="E40" i="17"/>
  <c r="Y39" i="17"/>
  <c r="U39" i="17"/>
  <c r="Q39" i="17"/>
  <c r="M39" i="17"/>
  <c r="I39" i="17"/>
  <c r="E39" i="17"/>
  <c r="Y38" i="17"/>
  <c r="U38" i="17"/>
  <c r="Q38" i="17"/>
  <c r="M38" i="17"/>
  <c r="I38" i="17"/>
  <c r="E38" i="17"/>
  <c r="Y37" i="17"/>
  <c r="U37" i="17"/>
  <c r="Q37" i="17"/>
  <c r="M37" i="17"/>
  <c r="I37" i="17"/>
  <c r="E37" i="17"/>
  <c r="Y36" i="17"/>
  <c r="U36" i="17"/>
  <c r="Q36" i="17"/>
  <c r="M36" i="17"/>
  <c r="I36" i="17"/>
  <c r="E36" i="17"/>
  <c r="Y35" i="17"/>
  <c r="U35" i="17"/>
  <c r="Q35" i="17"/>
  <c r="M35" i="17"/>
  <c r="I35" i="17"/>
  <c r="E35" i="17"/>
  <c r="Y34" i="17"/>
  <c r="U34" i="17"/>
  <c r="Q34" i="17"/>
  <c r="M34" i="17"/>
  <c r="I34" i="17"/>
  <c r="E34" i="17"/>
  <c r="Y33" i="17"/>
  <c r="U33" i="17"/>
  <c r="Q33" i="17"/>
  <c r="M33" i="17"/>
  <c r="I33" i="17"/>
  <c r="E33" i="17"/>
  <c r="Y32" i="17"/>
  <c r="U32" i="17"/>
  <c r="S47" i="17" s="1"/>
  <c r="Q32" i="17"/>
  <c r="M32" i="17"/>
  <c r="I32" i="17"/>
  <c r="E32" i="17"/>
  <c r="Y31" i="17"/>
  <c r="U31" i="17"/>
  <c r="Q31" i="17"/>
  <c r="M31" i="17"/>
  <c r="I31" i="17"/>
  <c r="E31" i="17"/>
  <c r="AC15" i="18"/>
  <c r="AC14" i="18"/>
  <c r="AC13" i="18"/>
  <c r="AC12" i="18"/>
  <c r="AC11" i="18"/>
  <c r="Y22" i="17"/>
  <c r="AB6" i="17" s="1"/>
  <c r="X22" i="17"/>
  <c r="AC10" i="18"/>
  <c r="AC20" i="17"/>
  <c r="S19" i="17"/>
  <c r="O19" i="17"/>
  <c r="K19" i="17"/>
  <c r="G19" i="17"/>
  <c r="C19" i="17"/>
  <c r="AC6" i="18"/>
  <c r="U17" i="17"/>
  <c r="Q17" i="17"/>
  <c r="M17" i="17"/>
  <c r="I17" i="17"/>
  <c r="E17" i="17"/>
  <c r="AC5" i="18"/>
  <c r="U16" i="17"/>
  <c r="Q16" i="17"/>
  <c r="M16" i="17"/>
  <c r="I16" i="17"/>
  <c r="E16" i="17"/>
  <c r="U15" i="17"/>
  <c r="Q15" i="17"/>
  <c r="M15" i="17"/>
  <c r="I15" i="17"/>
  <c r="E15" i="17"/>
  <c r="U14" i="17"/>
  <c r="Q14" i="17"/>
  <c r="M14" i="17"/>
  <c r="I14" i="17"/>
  <c r="E14" i="17"/>
  <c r="U13" i="17"/>
  <c r="Q13" i="17"/>
  <c r="M13" i="17"/>
  <c r="I13" i="17"/>
  <c r="E13" i="17"/>
  <c r="U12" i="17"/>
  <c r="Q12" i="17"/>
  <c r="M12" i="17"/>
  <c r="I12" i="17"/>
  <c r="E12" i="17"/>
  <c r="U11" i="17"/>
  <c r="Q11" i="17"/>
  <c r="M11" i="17"/>
  <c r="I11" i="17"/>
  <c r="E11" i="17"/>
  <c r="U10" i="17"/>
  <c r="Q10" i="17"/>
  <c r="M10" i="17"/>
  <c r="I10" i="17"/>
  <c r="E10" i="17"/>
  <c r="U9" i="17"/>
  <c r="Q9" i="17"/>
  <c r="M9" i="17"/>
  <c r="I9" i="17"/>
  <c r="E9" i="17"/>
  <c r="U8" i="17"/>
  <c r="Q8" i="17"/>
  <c r="M8" i="17"/>
  <c r="I8" i="17"/>
  <c r="E8" i="17"/>
  <c r="U7" i="17"/>
  <c r="Q7" i="17"/>
  <c r="M7" i="17"/>
  <c r="I7" i="17"/>
  <c r="E7" i="17"/>
  <c r="U6" i="17"/>
  <c r="Q6" i="17"/>
  <c r="M6" i="17"/>
  <c r="I6" i="17"/>
  <c r="E6" i="17"/>
  <c r="U5" i="17"/>
  <c r="Q5" i="17"/>
  <c r="M5" i="17"/>
  <c r="I5" i="17"/>
  <c r="E5" i="17"/>
  <c r="U4" i="17"/>
  <c r="Q4" i="17"/>
  <c r="M4" i="17"/>
  <c r="I4" i="17"/>
  <c r="E4" i="17"/>
  <c r="W2" i="17"/>
  <c r="V6" i="18" l="1"/>
  <c r="V9" i="18"/>
  <c r="V8" i="18"/>
  <c r="V5" i="18"/>
  <c r="X6" i="17"/>
  <c r="Y6" i="17" s="1"/>
  <c r="E116" i="17" s="1"/>
  <c r="AC7" i="18"/>
  <c r="P35" i="18" s="1"/>
  <c r="Q35" i="18" s="1"/>
  <c r="O47" i="18" s="1"/>
  <c r="AA9" i="18"/>
  <c r="AF72" i="17"/>
  <c r="AI72" i="17" s="1"/>
  <c r="Y16" i="17"/>
  <c r="E126" i="17" s="1"/>
  <c r="O20" i="18"/>
  <c r="T19" i="18"/>
  <c r="V4" i="18"/>
  <c r="V7" i="18"/>
  <c r="C104" i="17"/>
  <c r="Y72" i="17"/>
  <c r="S20" i="17"/>
  <c r="K47" i="17"/>
  <c r="Y8" i="17"/>
  <c r="E118" i="17" s="1"/>
  <c r="Y12" i="17"/>
  <c r="E122" i="17" s="1"/>
  <c r="Y68" i="17"/>
  <c r="K104" i="17"/>
  <c r="G104" i="17"/>
  <c r="K20" i="17"/>
  <c r="C20" i="17"/>
  <c r="C47" i="17"/>
  <c r="C76" i="17"/>
  <c r="K76" i="17"/>
  <c r="O20" i="17"/>
  <c r="G20" i="17"/>
  <c r="Y17" i="17"/>
  <c r="E127" i="17" s="1"/>
  <c r="Y73" i="17"/>
  <c r="S76" i="17"/>
  <c r="S104" i="17"/>
  <c r="O104" i="17"/>
  <c r="S155" i="17"/>
  <c r="O155" i="17"/>
  <c r="W47" i="17"/>
  <c r="K155" i="17"/>
  <c r="Y64" i="17"/>
  <c r="G76" i="17"/>
  <c r="O47" i="17"/>
  <c r="G155" i="17"/>
  <c r="X14" i="17"/>
  <c r="Y14" i="17" s="1"/>
  <c r="E124" i="17" s="1"/>
  <c r="X11" i="17"/>
  <c r="Y11" i="17" s="1"/>
  <c r="E121" i="17" s="1"/>
  <c r="W19" i="17"/>
  <c r="G47" i="17"/>
  <c r="C155" i="17"/>
  <c r="W75" i="17"/>
  <c r="O76" i="17"/>
  <c r="X61" i="17"/>
  <c r="Y61" i="17" s="1"/>
  <c r="X67" i="17"/>
  <c r="Y67" i="17" s="1"/>
  <c r="Y65" i="17"/>
  <c r="X71" i="17"/>
  <c r="Y71" i="17" s="1"/>
  <c r="X69" i="17"/>
  <c r="Y4" i="17"/>
  <c r="E114" i="17" s="1"/>
  <c r="X7" i="17"/>
  <c r="Y7" i="17" s="1"/>
  <c r="X10" i="17"/>
  <c r="Y10" i="17" s="1"/>
  <c r="E120" i="17" s="1"/>
  <c r="X13" i="17"/>
  <c r="Y13" i="17" s="1"/>
  <c r="E123" i="17" s="1"/>
  <c r="Y60" i="17"/>
  <c r="X63" i="17"/>
  <c r="X66" i="17"/>
  <c r="Y66" i="17" s="1"/>
  <c r="X70" i="17"/>
  <c r="Y70" i="17" s="1"/>
  <c r="X9" i="17"/>
  <c r="Y9" i="17" s="1"/>
  <c r="E119" i="17" s="1"/>
  <c r="X15" i="17"/>
  <c r="Y15" i="17" s="1"/>
  <c r="E125" i="17" s="1"/>
  <c r="X62" i="17"/>
  <c r="T20" i="18" l="1"/>
  <c r="Y63" i="17"/>
  <c r="E117" i="17"/>
  <c r="E131" i="17" s="1"/>
  <c r="W20" i="17"/>
  <c r="Y62" i="17"/>
  <c r="Y69" i="17"/>
  <c r="W76" i="17" l="1"/>
  <c r="B48" i="13" l="1"/>
  <c r="B49" i="13"/>
  <c r="B43" i="13"/>
  <c r="B44" i="13"/>
  <c r="B45" i="13"/>
  <c r="B47" i="13"/>
  <c r="B38" i="13"/>
  <c r="B39" i="13"/>
  <c r="B40" i="13"/>
  <c r="B41" i="13"/>
  <c r="C37" i="13"/>
  <c r="D37" i="13"/>
  <c r="E37" i="13"/>
  <c r="B37" i="13"/>
  <c r="S47" i="1"/>
  <c r="T18" i="1"/>
  <c r="D3" i="6" l="1"/>
  <c r="T34" i="6"/>
  <c r="T29" i="6"/>
  <c r="T28" i="6"/>
  <c r="T27" i="6"/>
  <c r="T26" i="6"/>
  <c r="T25" i="6"/>
  <c r="T24" i="6"/>
  <c r="T23" i="6"/>
  <c r="T22" i="6"/>
  <c r="B12" i="6"/>
  <c r="B11" i="6"/>
  <c r="Z17" i="14"/>
  <c r="O23" i="14"/>
  <c r="Z15" i="14"/>
  <c r="Z16" i="14"/>
  <c r="O6" i="14" s="1"/>
  <c r="Z14" i="14"/>
  <c r="O4" i="14" s="1"/>
  <c r="AC9" i="14"/>
  <c r="AC8" i="14"/>
  <c r="AC7" i="14"/>
  <c r="AC6" i="14"/>
  <c r="Z9" i="14"/>
  <c r="Z8" i="14"/>
  <c r="Z7" i="14"/>
  <c r="Z6" i="14"/>
  <c r="C3" i="6"/>
  <c r="R18" i="6"/>
  <c r="O5" i="14" l="1"/>
  <c r="T23" i="1"/>
  <c r="C40" i="13" s="1"/>
  <c r="O7" i="14"/>
  <c r="Q9" i="14" s="1"/>
  <c r="Q12" i="14"/>
  <c r="T21" i="6"/>
  <c r="T20" i="6"/>
  <c r="Q11" i="14"/>
  <c r="U34" i="14"/>
  <c r="R19" i="6"/>
  <c r="R17" i="6"/>
  <c r="R16" i="6"/>
  <c r="T22" i="1" l="1"/>
  <c r="C39" i="13" s="1"/>
  <c r="T21" i="1"/>
  <c r="C38" i="13" s="1"/>
  <c r="H41" i="13" s="1"/>
  <c r="T24" i="1"/>
  <c r="C41" i="13" s="1"/>
  <c r="R34" i="6"/>
  <c r="R31" i="6"/>
  <c r="S37" i="14"/>
  <c r="O37" i="14"/>
  <c r="K37" i="14"/>
  <c r="G37" i="14"/>
  <c r="C37" i="14"/>
  <c r="Q35" i="14"/>
  <c r="M35" i="14"/>
  <c r="I35" i="14"/>
  <c r="E35" i="14"/>
  <c r="U35" i="14"/>
  <c r="Q34" i="14"/>
  <c r="M34" i="14"/>
  <c r="I34" i="14"/>
  <c r="E34" i="14"/>
  <c r="U33" i="14"/>
  <c r="Q33" i="14"/>
  <c r="M33" i="14"/>
  <c r="I33" i="14"/>
  <c r="E33" i="14"/>
  <c r="U32" i="14"/>
  <c r="Q32" i="14"/>
  <c r="M32" i="14"/>
  <c r="I32" i="14"/>
  <c r="E32" i="14"/>
  <c r="S23" i="14"/>
  <c r="U21" i="14"/>
  <c r="U20" i="14"/>
  <c r="U19" i="14"/>
  <c r="U18" i="14"/>
  <c r="Q21" i="14"/>
  <c r="Q20" i="14"/>
  <c r="Q19" i="14"/>
  <c r="Q18" i="14"/>
  <c r="K23" i="14"/>
  <c r="M21" i="14"/>
  <c r="M20" i="14"/>
  <c r="M19" i="14"/>
  <c r="M18" i="14"/>
  <c r="G23" i="14"/>
  <c r="I21" i="14"/>
  <c r="I20" i="14"/>
  <c r="I19" i="14"/>
  <c r="I18" i="14"/>
  <c r="C23" i="14"/>
  <c r="E21" i="14"/>
  <c r="E20" i="14"/>
  <c r="E19" i="14"/>
  <c r="E18" i="14"/>
  <c r="H42" i="13" l="1"/>
  <c r="H43" i="13" s="1"/>
  <c r="T37" i="1"/>
  <c r="C43" i="13" s="1"/>
  <c r="H40" i="13"/>
  <c r="G38" i="14"/>
  <c r="C38" i="14"/>
  <c r="S24" i="14"/>
  <c r="K24" i="14"/>
  <c r="C24" i="14"/>
  <c r="S38" i="14"/>
  <c r="O38" i="14"/>
  <c r="K38" i="14"/>
  <c r="O24" i="14"/>
  <c r="G24" i="14"/>
  <c r="K9" i="14"/>
  <c r="K10" i="14" s="1"/>
  <c r="M7" i="14"/>
  <c r="M6" i="14"/>
  <c r="M5" i="14"/>
  <c r="M4" i="14"/>
  <c r="H44" i="13" l="1"/>
  <c r="G9" i="14"/>
  <c r="G10" i="14" s="1"/>
  <c r="I7" i="14"/>
  <c r="I6" i="14"/>
  <c r="I5" i="14"/>
  <c r="I4" i="14"/>
  <c r="E7" i="14"/>
  <c r="E6" i="14"/>
  <c r="E5" i="14"/>
  <c r="E4" i="14"/>
  <c r="C9" i="14"/>
  <c r="C10" i="14" s="1"/>
  <c r="H45" i="13" l="1"/>
  <c r="AC10" i="12"/>
  <c r="AB10" i="12"/>
  <c r="Z12" i="12"/>
  <c r="AJ21" i="5" l="1"/>
  <c r="AI21" i="5"/>
  <c r="AH21" i="5"/>
  <c r="AG21" i="5"/>
  <c r="AF21" i="5"/>
  <c r="AE21" i="5"/>
  <c r="AD21" i="5"/>
  <c r="AC21" i="5"/>
  <c r="AB21" i="5"/>
  <c r="AG73" i="5" l="1"/>
  <c r="AJ73" i="5"/>
  <c r="AI73" i="5"/>
  <c r="AH73" i="5"/>
  <c r="AF73" i="5"/>
  <c r="AE73" i="5"/>
  <c r="AD73" i="5"/>
  <c r="AC73" i="5"/>
  <c r="AB73" i="5"/>
  <c r="AF71" i="5"/>
  <c r="AB68" i="5"/>
  <c r="AJ74" i="5"/>
  <c r="AC14" i="12" l="1"/>
  <c r="AB14" i="12"/>
  <c r="AA14" i="12"/>
  <c r="Z14" i="12"/>
  <c r="AC12" i="12"/>
  <c r="AB12" i="12"/>
  <c r="AA12" i="12"/>
  <c r="AC11" i="12"/>
  <c r="AB11" i="12"/>
  <c r="AA11" i="12"/>
  <c r="Z11" i="12"/>
  <c r="AC8" i="12"/>
  <c r="AB8" i="12"/>
  <c r="AA8" i="12"/>
  <c r="Z8" i="12"/>
  <c r="AC6" i="12" l="1"/>
  <c r="AB6" i="12"/>
  <c r="S151" i="12"/>
  <c r="O151" i="12"/>
  <c r="U149" i="12"/>
  <c r="Q149" i="12"/>
  <c r="U148" i="12"/>
  <c r="Q148" i="12"/>
  <c r="U147" i="12"/>
  <c r="Q147" i="12"/>
  <c r="U146" i="12"/>
  <c r="Q146" i="12"/>
  <c r="U145" i="12"/>
  <c r="Q145" i="12"/>
  <c r="U144" i="12"/>
  <c r="Q144" i="12"/>
  <c r="U143" i="12"/>
  <c r="Q143" i="12"/>
  <c r="U142" i="12"/>
  <c r="Q142" i="12"/>
  <c r="U141" i="12"/>
  <c r="Q141" i="12"/>
  <c r="U140" i="12"/>
  <c r="Q140" i="12"/>
  <c r="U139" i="12"/>
  <c r="Q139" i="12"/>
  <c r="U138" i="12"/>
  <c r="Q138" i="12"/>
  <c r="U137" i="12"/>
  <c r="Q137" i="12"/>
  <c r="U136" i="12"/>
  <c r="Q136" i="12"/>
  <c r="S127" i="12"/>
  <c r="U125" i="12"/>
  <c r="U124" i="12"/>
  <c r="U123" i="12"/>
  <c r="U122" i="12"/>
  <c r="U121" i="12"/>
  <c r="U120" i="12"/>
  <c r="U119" i="12"/>
  <c r="U118" i="12"/>
  <c r="U117" i="12"/>
  <c r="U116" i="12"/>
  <c r="U115" i="12"/>
  <c r="U114" i="12"/>
  <c r="U113" i="12"/>
  <c r="U112" i="12"/>
  <c r="O127" i="12"/>
  <c r="Q125" i="12"/>
  <c r="Q124" i="12"/>
  <c r="Q123" i="12"/>
  <c r="Q122" i="12"/>
  <c r="Q121" i="12"/>
  <c r="Q120" i="12"/>
  <c r="Q119" i="12"/>
  <c r="Q118" i="12"/>
  <c r="Q117" i="12"/>
  <c r="Q116" i="12"/>
  <c r="Q115" i="12"/>
  <c r="Q114" i="12"/>
  <c r="Q113" i="12"/>
  <c r="Q112" i="12"/>
  <c r="K151" i="12"/>
  <c r="G151" i="12"/>
  <c r="C151" i="12"/>
  <c r="M149" i="12"/>
  <c r="I149" i="12"/>
  <c r="E149" i="12"/>
  <c r="M148" i="12"/>
  <c r="I148" i="12"/>
  <c r="E148" i="12"/>
  <c r="M147" i="12"/>
  <c r="I147" i="12"/>
  <c r="E147" i="12"/>
  <c r="M146" i="12"/>
  <c r="I146" i="12"/>
  <c r="E146" i="12"/>
  <c r="M145" i="12"/>
  <c r="I145" i="12"/>
  <c r="E145" i="12"/>
  <c r="M144" i="12"/>
  <c r="I144" i="12"/>
  <c r="E144" i="12"/>
  <c r="M143" i="12"/>
  <c r="I143" i="12"/>
  <c r="E143" i="12"/>
  <c r="M142" i="12"/>
  <c r="I142" i="12"/>
  <c r="E142" i="12"/>
  <c r="M141" i="12"/>
  <c r="I141" i="12"/>
  <c r="E141" i="12"/>
  <c r="M140" i="12"/>
  <c r="I140" i="12"/>
  <c r="E140" i="12"/>
  <c r="M139" i="12"/>
  <c r="I139" i="12"/>
  <c r="E139" i="12"/>
  <c r="M138" i="12"/>
  <c r="I138" i="12"/>
  <c r="E138" i="12"/>
  <c r="M137" i="12"/>
  <c r="I137" i="12"/>
  <c r="E137" i="12"/>
  <c r="M136" i="12"/>
  <c r="I136" i="12"/>
  <c r="E136" i="12"/>
  <c r="AA6" i="12"/>
  <c r="Z6" i="12"/>
  <c r="E112" i="12"/>
  <c r="E113" i="12"/>
  <c r="E114" i="12"/>
  <c r="E115" i="12"/>
  <c r="E116" i="12"/>
  <c r="E117" i="12"/>
  <c r="K127" i="12"/>
  <c r="G127" i="12"/>
  <c r="C127" i="12"/>
  <c r="M125" i="12"/>
  <c r="I125" i="12"/>
  <c r="E125" i="12"/>
  <c r="M124" i="12"/>
  <c r="I124" i="12"/>
  <c r="E124" i="12"/>
  <c r="M123" i="12"/>
  <c r="I123" i="12"/>
  <c r="E123" i="12"/>
  <c r="M122" i="12"/>
  <c r="I122" i="12"/>
  <c r="E122" i="12"/>
  <c r="M121" i="12"/>
  <c r="I121" i="12"/>
  <c r="E121" i="12"/>
  <c r="M120" i="12"/>
  <c r="I120" i="12"/>
  <c r="E120" i="12"/>
  <c r="M119" i="12"/>
  <c r="I119" i="12"/>
  <c r="E119" i="12"/>
  <c r="M118" i="12"/>
  <c r="I118" i="12"/>
  <c r="E118" i="12"/>
  <c r="M117" i="12"/>
  <c r="I117" i="12"/>
  <c r="M116" i="12"/>
  <c r="I116" i="12"/>
  <c r="M115" i="12"/>
  <c r="I115" i="12"/>
  <c r="M114" i="12"/>
  <c r="I114" i="12"/>
  <c r="M113" i="12"/>
  <c r="I113" i="12"/>
  <c r="M112" i="12"/>
  <c r="I112" i="12"/>
  <c r="AJ75" i="5"/>
  <c r="AI75" i="5"/>
  <c r="AH75" i="5"/>
  <c r="AG75" i="5"/>
  <c r="AF75" i="5"/>
  <c r="AE75" i="5"/>
  <c r="AD75" i="5"/>
  <c r="AC75" i="5"/>
  <c r="AB75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39" i="5"/>
  <c r="AJ77" i="5"/>
  <c r="AI77" i="5"/>
  <c r="AH77" i="5"/>
  <c r="AG77" i="5"/>
  <c r="AF77" i="5"/>
  <c r="AE77" i="5"/>
  <c r="AD77" i="5"/>
  <c r="AC77" i="5"/>
  <c r="AB77" i="5"/>
  <c r="AI74" i="5"/>
  <c r="AH74" i="5"/>
  <c r="AG74" i="5"/>
  <c r="AF74" i="5"/>
  <c r="AE74" i="5"/>
  <c r="AD74" i="5"/>
  <c r="AC74" i="5"/>
  <c r="AB74" i="5"/>
  <c r="AJ71" i="5"/>
  <c r="AI71" i="5"/>
  <c r="AH71" i="5"/>
  <c r="AG71" i="5"/>
  <c r="AE71" i="5"/>
  <c r="AD71" i="5"/>
  <c r="AC71" i="5"/>
  <c r="AB71" i="5"/>
  <c r="AJ69" i="5"/>
  <c r="AI69" i="5"/>
  <c r="AH69" i="5"/>
  <c r="AG69" i="5"/>
  <c r="AF69" i="5"/>
  <c r="AE69" i="5"/>
  <c r="AD69" i="5"/>
  <c r="AC69" i="5"/>
  <c r="AB6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39" i="5"/>
  <c r="U147" i="5"/>
  <c r="U148" i="5"/>
  <c r="U149" i="5"/>
  <c r="U150" i="5"/>
  <c r="U151" i="5"/>
  <c r="U152" i="5"/>
  <c r="U140" i="5"/>
  <c r="U141" i="5"/>
  <c r="U142" i="5"/>
  <c r="U143" i="5"/>
  <c r="U144" i="5"/>
  <c r="U145" i="5"/>
  <c r="U146" i="5"/>
  <c r="U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39" i="5"/>
  <c r="C154" i="5"/>
  <c r="G154" i="5"/>
  <c r="K154" i="5"/>
  <c r="S154" i="5"/>
  <c r="O154" i="5"/>
  <c r="S128" i="12" l="1"/>
  <c r="S152" i="12"/>
  <c r="O152" i="12"/>
  <c r="O128" i="12"/>
  <c r="K152" i="12"/>
  <c r="G152" i="12"/>
  <c r="C152" i="12"/>
  <c r="K128" i="12"/>
  <c r="G128" i="12"/>
  <c r="C128" i="12"/>
  <c r="O155" i="5"/>
  <c r="K155" i="5"/>
  <c r="G155" i="5"/>
  <c r="S155" i="5"/>
  <c r="C155" i="5"/>
  <c r="AJ25" i="5"/>
  <c r="AI25" i="5"/>
  <c r="AH25" i="5"/>
  <c r="AG25" i="5"/>
  <c r="AF25" i="5"/>
  <c r="AE25" i="5"/>
  <c r="AC25" i="5"/>
  <c r="AD25" i="5"/>
  <c r="AB25" i="5"/>
  <c r="AJ23" i="5"/>
  <c r="AI23" i="5"/>
  <c r="AH23" i="5"/>
  <c r="AG23" i="5"/>
  <c r="AF23" i="5"/>
  <c r="AE23" i="5"/>
  <c r="AD23" i="5"/>
  <c r="AC23" i="5"/>
  <c r="AB23" i="5"/>
  <c r="AJ22" i="5"/>
  <c r="AI22" i="5"/>
  <c r="AH22" i="5"/>
  <c r="AG22" i="5"/>
  <c r="AF22" i="5"/>
  <c r="AE22" i="5"/>
  <c r="AD22" i="5"/>
  <c r="AC22" i="5"/>
  <c r="AB22" i="5"/>
  <c r="AJ19" i="5"/>
  <c r="AI19" i="5"/>
  <c r="AH19" i="5"/>
  <c r="AG19" i="5"/>
  <c r="AF19" i="5"/>
  <c r="AE19" i="5"/>
  <c r="AD19" i="5"/>
  <c r="AC19" i="5"/>
  <c r="AB19" i="5"/>
  <c r="AJ17" i="5"/>
  <c r="AI17" i="5"/>
  <c r="AH17" i="5"/>
  <c r="AG17" i="5"/>
  <c r="AF17" i="5"/>
  <c r="AE17" i="5"/>
  <c r="AD17" i="5"/>
  <c r="AC17" i="5"/>
  <c r="AB17" i="5"/>
  <c r="C103" i="5" l="1"/>
  <c r="S103" i="5"/>
  <c r="U101" i="5"/>
  <c r="U100" i="5"/>
  <c r="U99" i="5"/>
  <c r="U98" i="5"/>
  <c r="U97" i="5"/>
  <c r="U96" i="5"/>
  <c r="U95" i="5"/>
  <c r="U94" i="5"/>
  <c r="U93" i="5"/>
  <c r="U92" i="5"/>
  <c r="U91" i="5"/>
  <c r="U90" i="5"/>
  <c r="U89" i="5"/>
  <c r="U88" i="5"/>
  <c r="O103" i="5"/>
  <c r="Q101" i="5"/>
  <c r="Q100" i="5"/>
  <c r="Q99" i="5"/>
  <c r="Q98" i="5"/>
  <c r="Q97" i="5"/>
  <c r="Q96" i="5"/>
  <c r="Q95" i="5"/>
  <c r="Q94" i="5"/>
  <c r="Q93" i="5"/>
  <c r="Q92" i="5"/>
  <c r="Q91" i="5"/>
  <c r="Q90" i="5"/>
  <c r="Q89" i="5"/>
  <c r="Q88" i="5"/>
  <c r="S104" i="5" l="1"/>
  <c r="O104" i="5"/>
  <c r="AC7" i="12"/>
  <c r="AC9" i="12"/>
  <c r="AB9" i="12"/>
  <c r="AA13" i="12"/>
  <c r="AB13" i="12"/>
  <c r="AC13" i="12"/>
  <c r="AB7" i="12"/>
  <c r="Z13" i="12"/>
  <c r="AA9" i="12"/>
  <c r="Z9" i="12"/>
  <c r="AA7" i="12"/>
  <c r="Z7" i="12"/>
  <c r="K101" i="12"/>
  <c r="G101" i="12"/>
  <c r="C101" i="12"/>
  <c r="M99" i="12"/>
  <c r="I99" i="12"/>
  <c r="E99" i="12"/>
  <c r="M98" i="12"/>
  <c r="I98" i="12"/>
  <c r="E98" i="12"/>
  <c r="M97" i="12"/>
  <c r="I97" i="12"/>
  <c r="E97" i="12"/>
  <c r="M96" i="12"/>
  <c r="I96" i="12"/>
  <c r="E96" i="12"/>
  <c r="M95" i="12"/>
  <c r="I95" i="12"/>
  <c r="E95" i="12"/>
  <c r="M94" i="12"/>
  <c r="I94" i="12"/>
  <c r="E94" i="12"/>
  <c r="M93" i="12"/>
  <c r="I93" i="12"/>
  <c r="E93" i="12"/>
  <c r="M92" i="12"/>
  <c r="I92" i="12"/>
  <c r="E92" i="12"/>
  <c r="M91" i="12"/>
  <c r="I91" i="12"/>
  <c r="E91" i="12"/>
  <c r="M90" i="12"/>
  <c r="I90" i="12"/>
  <c r="E90" i="12"/>
  <c r="M89" i="12"/>
  <c r="I89" i="12"/>
  <c r="E89" i="12"/>
  <c r="M88" i="12"/>
  <c r="I88" i="12"/>
  <c r="E88" i="12"/>
  <c r="M87" i="12"/>
  <c r="I87" i="12"/>
  <c r="E87" i="12"/>
  <c r="M86" i="12"/>
  <c r="I86" i="12"/>
  <c r="E86" i="12"/>
  <c r="K74" i="12"/>
  <c r="G74" i="12"/>
  <c r="C74" i="12"/>
  <c r="M72" i="12"/>
  <c r="I72" i="12"/>
  <c r="E72" i="12"/>
  <c r="M71" i="12"/>
  <c r="I71" i="12"/>
  <c r="E71" i="12"/>
  <c r="M70" i="12"/>
  <c r="I70" i="12"/>
  <c r="E70" i="12"/>
  <c r="M69" i="12"/>
  <c r="I69" i="12"/>
  <c r="E69" i="12"/>
  <c r="M68" i="12"/>
  <c r="I68" i="12"/>
  <c r="E68" i="12"/>
  <c r="M67" i="12"/>
  <c r="I67" i="12"/>
  <c r="E67" i="12"/>
  <c r="M66" i="12"/>
  <c r="I66" i="12"/>
  <c r="E66" i="12"/>
  <c r="M65" i="12"/>
  <c r="I65" i="12"/>
  <c r="E65" i="12"/>
  <c r="M64" i="12"/>
  <c r="I64" i="12"/>
  <c r="E64" i="12"/>
  <c r="M63" i="12"/>
  <c r="I63" i="12"/>
  <c r="E63" i="12"/>
  <c r="M62" i="12"/>
  <c r="I62" i="12"/>
  <c r="E62" i="12"/>
  <c r="M61" i="12"/>
  <c r="I61" i="12"/>
  <c r="E61" i="12"/>
  <c r="M60" i="12"/>
  <c r="I60" i="12"/>
  <c r="E60" i="12"/>
  <c r="M59" i="12"/>
  <c r="I59" i="12"/>
  <c r="E59" i="12"/>
  <c r="X5" i="13"/>
  <c r="N5" i="13"/>
  <c r="O5" i="13"/>
  <c r="P5" i="13"/>
  <c r="Q5" i="13"/>
  <c r="R5" i="13"/>
  <c r="S5" i="13"/>
  <c r="N6" i="13"/>
  <c r="O6" i="13"/>
  <c r="S6" i="13"/>
  <c r="N7" i="13"/>
  <c r="O7" i="13"/>
  <c r="S7" i="13"/>
  <c r="N8" i="13"/>
  <c r="O8" i="13"/>
  <c r="S8" i="13"/>
  <c r="N9" i="13"/>
  <c r="O9" i="13"/>
  <c r="S9" i="13"/>
  <c r="N10" i="13"/>
  <c r="O10" i="13"/>
  <c r="S10" i="13"/>
  <c r="N11" i="13"/>
  <c r="O11" i="13"/>
  <c r="S11" i="13"/>
  <c r="N12" i="13"/>
  <c r="O12" i="13"/>
  <c r="P12" i="13"/>
  <c r="Q12" i="13"/>
  <c r="R12" i="13"/>
  <c r="S12" i="13"/>
  <c r="N13" i="13"/>
  <c r="O13" i="13"/>
  <c r="P13" i="13"/>
  <c r="Q13" i="13"/>
  <c r="R13" i="13"/>
  <c r="S13" i="13"/>
  <c r="N14" i="13"/>
  <c r="O14" i="13"/>
  <c r="P14" i="13"/>
  <c r="Q14" i="13"/>
  <c r="R14" i="13"/>
  <c r="S14" i="13"/>
  <c r="N15" i="13"/>
  <c r="O15" i="13"/>
  <c r="P15" i="13"/>
  <c r="Q15" i="13"/>
  <c r="R15" i="13"/>
  <c r="S15" i="13"/>
  <c r="N16" i="13"/>
  <c r="O16" i="13"/>
  <c r="P16" i="13"/>
  <c r="Q16" i="13"/>
  <c r="R16" i="13"/>
  <c r="S16" i="13"/>
  <c r="N17" i="13"/>
  <c r="O17" i="13"/>
  <c r="P17" i="13"/>
  <c r="Q17" i="13"/>
  <c r="R17" i="13"/>
  <c r="S17" i="13"/>
  <c r="N18" i="13"/>
  <c r="O18" i="13"/>
  <c r="P18" i="13"/>
  <c r="Q18" i="13"/>
  <c r="R18" i="13"/>
  <c r="S18" i="13"/>
  <c r="N19" i="13"/>
  <c r="O19" i="13"/>
  <c r="P19" i="13"/>
  <c r="Q19" i="13"/>
  <c r="R19" i="13"/>
  <c r="S19" i="13"/>
  <c r="N20" i="13"/>
  <c r="O20" i="13"/>
  <c r="P20" i="13"/>
  <c r="Q20" i="13"/>
  <c r="R20" i="13"/>
  <c r="S20" i="13"/>
  <c r="N21" i="13"/>
  <c r="O21" i="13"/>
  <c r="P21" i="13"/>
  <c r="Q21" i="13"/>
  <c r="R21" i="13"/>
  <c r="S21" i="13"/>
  <c r="W2" i="12"/>
  <c r="P7" i="12" s="1"/>
  <c r="AC15" i="12"/>
  <c r="AB15" i="12"/>
  <c r="AC5" i="12"/>
  <c r="AB5" i="12"/>
  <c r="AA15" i="12"/>
  <c r="AA10" i="12"/>
  <c r="AA5" i="12"/>
  <c r="Z15" i="12"/>
  <c r="Z10" i="12"/>
  <c r="Z5" i="12"/>
  <c r="P34" i="12" l="1"/>
  <c r="P8" i="12"/>
  <c r="K102" i="12"/>
  <c r="K75" i="12"/>
  <c r="G102" i="12"/>
  <c r="G75" i="12"/>
  <c r="C102" i="12"/>
  <c r="C75" i="12"/>
  <c r="P35" i="12"/>
  <c r="T1" i="12"/>
  <c r="V22" i="12"/>
  <c r="V17" i="12"/>
  <c r="V16" i="12"/>
  <c r="V15" i="12"/>
  <c r="V14" i="12"/>
  <c r="V13" i="12"/>
  <c r="V12" i="12"/>
  <c r="V11" i="12"/>
  <c r="V10" i="12"/>
  <c r="AJ76" i="5"/>
  <c r="AI76" i="5"/>
  <c r="AH76" i="5"/>
  <c r="AG76" i="5"/>
  <c r="AF76" i="5"/>
  <c r="AE76" i="5"/>
  <c r="AD76" i="5"/>
  <c r="AC76" i="5"/>
  <c r="AB76" i="5"/>
  <c r="AJ72" i="5"/>
  <c r="AI72" i="5"/>
  <c r="AH72" i="5"/>
  <c r="AG72" i="5"/>
  <c r="AF72" i="5"/>
  <c r="AE72" i="5"/>
  <c r="AD72" i="5"/>
  <c r="AC72" i="5"/>
  <c r="AB72" i="5"/>
  <c r="AJ70" i="5"/>
  <c r="AI70" i="5"/>
  <c r="AH70" i="5"/>
  <c r="AG70" i="5"/>
  <c r="AF70" i="5"/>
  <c r="AE70" i="5"/>
  <c r="AD70" i="5"/>
  <c r="AC70" i="5"/>
  <c r="AB70" i="5"/>
  <c r="AJ78" i="5"/>
  <c r="AI78" i="5"/>
  <c r="AH78" i="5"/>
  <c r="AG78" i="5"/>
  <c r="AF78" i="5"/>
  <c r="AE78" i="5"/>
  <c r="AD78" i="5"/>
  <c r="AC78" i="5"/>
  <c r="AB78" i="5"/>
  <c r="AJ68" i="5"/>
  <c r="AI68" i="5"/>
  <c r="AH68" i="5"/>
  <c r="AG68" i="5"/>
  <c r="AF68" i="5"/>
  <c r="AE68" i="5"/>
  <c r="AD68" i="5"/>
  <c r="AC68" i="5"/>
  <c r="AJ26" i="5"/>
  <c r="AJ16" i="5"/>
  <c r="AI16" i="5"/>
  <c r="AH16" i="5"/>
  <c r="AG16" i="5"/>
  <c r="AF16" i="5"/>
  <c r="AE16" i="5"/>
  <c r="AD16" i="5"/>
  <c r="AC16" i="5"/>
  <c r="AB16" i="5"/>
  <c r="AH24" i="5"/>
  <c r="AI26" i="5"/>
  <c r="AH26" i="5"/>
  <c r="AG26" i="5"/>
  <c r="AF26" i="5"/>
  <c r="AE26" i="5"/>
  <c r="AD26" i="5"/>
  <c r="AC26" i="5"/>
  <c r="AJ24" i="5"/>
  <c r="AI24" i="5"/>
  <c r="AG24" i="5"/>
  <c r="AF24" i="5"/>
  <c r="AE24" i="5"/>
  <c r="AD24" i="5"/>
  <c r="AC24" i="5"/>
  <c r="AJ20" i="5"/>
  <c r="AI20" i="5"/>
  <c r="AH20" i="5"/>
  <c r="AG20" i="5"/>
  <c r="AF20" i="5"/>
  <c r="AE20" i="5"/>
  <c r="AD20" i="5"/>
  <c r="AC20" i="5"/>
  <c r="AJ18" i="5"/>
  <c r="AI18" i="5"/>
  <c r="AH18" i="5"/>
  <c r="AG18" i="5"/>
  <c r="AF18" i="5"/>
  <c r="AE18" i="5"/>
  <c r="AD18" i="5"/>
  <c r="AC18" i="5"/>
  <c r="AB26" i="5"/>
  <c r="AB24" i="5"/>
  <c r="AB20" i="5"/>
  <c r="AB18" i="5"/>
  <c r="W46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U49" i="5"/>
  <c r="S46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O46" i="5"/>
  <c r="Q44" i="5"/>
  <c r="Q43" i="5"/>
  <c r="Q42" i="5"/>
  <c r="Q41" i="5"/>
  <c r="Q40" i="5"/>
  <c r="Q39" i="5"/>
  <c r="Q38" i="5"/>
  <c r="Q37" i="5"/>
  <c r="Q36" i="5"/>
  <c r="Q35" i="5"/>
  <c r="Q34" i="5"/>
  <c r="Q33" i="5"/>
  <c r="Q32" i="5"/>
  <c r="Q31" i="5"/>
  <c r="O47" i="5" l="1"/>
  <c r="U8" i="12"/>
  <c r="U7" i="12"/>
  <c r="W47" i="5"/>
  <c r="S47" i="5"/>
  <c r="Q49" i="12" l="1"/>
  <c r="E49" i="12"/>
  <c r="K46" i="12"/>
  <c r="G46" i="12"/>
  <c r="C46" i="12"/>
  <c r="Q44" i="12"/>
  <c r="M44" i="12"/>
  <c r="I44" i="12"/>
  <c r="E44" i="12"/>
  <c r="Q43" i="12"/>
  <c r="M43" i="12"/>
  <c r="I43" i="12"/>
  <c r="E43" i="12"/>
  <c r="Q42" i="12"/>
  <c r="M42" i="12"/>
  <c r="I42" i="12"/>
  <c r="E42" i="12"/>
  <c r="Q41" i="12"/>
  <c r="M41" i="12"/>
  <c r="I41" i="12"/>
  <c r="E41" i="12"/>
  <c r="Q40" i="12"/>
  <c r="M40" i="12"/>
  <c r="I40" i="12"/>
  <c r="E40" i="12"/>
  <c r="Q39" i="12"/>
  <c r="M39" i="12"/>
  <c r="I39" i="12"/>
  <c r="E39" i="12"/>
  <c r="Q38" i="12"/>
  <c r="M38" i="12"/>
  <c r="I38" i="12"/>
  <c r="E38" i="12"/>
  <c r="Q37" i="12"/>
  <c r="M37" i="12"/>
  <c r="I37" i="12"/>
  <c r="E37" i="12"/>
  <c r="P36" i="12"/>
  <c r="O36" i="12"/>
  <c r="M36" i="12"/>
  <c r="I36" i="12"/>
  <c r="E36" i="12"/>
  <c r="O35" i="12"/>
  <c r="M35" i="12"/>
  <c r="I35" i="12"/>
  <c r="E35" i="12"/>
  <c r="O34" i="12"/>
  <c r="M34" i="12"/>
  <c r="I34" i="12"/>
  <c r="E34" i="12"/>
  <c r="P33" i="12"/>
  <c r="O33" i="12"/>
  <c r="M33" i="12"/>
  <c r="I33" i="12"/>
  <c r="E33" i="12"/>
  <c r="P32" i="12"/>
  <c r="O32" i="12"/>
  <c r="M32" i="12"/>
  <c r="I32" i="12"/>
  <c r="E32" i="12"/>
  <c r="P31" i="12"/>
  <c r="O31" i="12"/>
  <c r="M31" i="12"/>
  <c r="I31" i="12"/>
  <c r="E31" i="12"/>
  <c r="Q35" i="12" l="1"/>
  <c r="Q36" i="12"/>
  <c r="Q34" i="12"/>
  <c r="G47" i="12"/>
  <c r="Q33" i="12"/>
  <c r="K47" i="12"/>
  <c r="C47" i="12"/>
  <c r="Q31" i="12"/>
  <c r="Q32" i="12"/>
  <c r="O46" i="12"/>
  <c r="K5" i="13"/>
  <c r="B5" i="13"/>
  <c r="C5" i="13"/>
  <c r="D5" i="13"/>
  <c r="E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C20" i="13"/>
  <c r="D20" i="13"/>
  <c r="E20" i="13"/>
  <c r="B21" i="13"/>
  <c r="C21" i="13"/>
  <c r="D21" i="13"/>
  <c r="E21" i="13"/>
  <c r="B22" i="13"/>
  <c r="D22" i="13"/>
  <c r="E22" i="13"/>
  <c r="B23" i="13"/>
  <c r="C23" i="13"/>
  <c r="D23" i="13"/>
  <c r="B24" i="13"/>
  <c r="C24" i="13"/>
  <c r="B25" i="13"/>
  <c r="C25" i="13"/>
  <c r="D25" i="13"/>
  <c r="E25" i="13"/>
  <c r="B26" i="13"/>
  <c r="D26" i="13"/>
  <c r="E26" i="13"/>
  <c r="B27" i="13"/>
  <c r="D27" i="13"/>
  <c r="E27" i="13"/>
  <c r="B28" i="13"/>
  <c r="D28" i="13"/>
  <c r="E28" i="13"/>
  <c r="O47" i="12" l="1"/>
  <c r="Y22" i="5"/>
  <c r="AB6" i="5" s="1"/>
  <c r="Y78" i="5"/>
  <c r="AB61" i="5" s="1"/>
  <c r="W72" i="5"/>
  <c r="W73" i="5"/>
  <c r="W71" i="5"/>
  <c r="W69" i="5"/>
  <c r="W68" i="5"/>
  <c r="W64" i="5"/>
  <c r="W65" i="5"/>
  <c r="W67" i="5"/>
  <c r="W63" i="5"/>
  <c r="W60" i="5"/>
  <c r="W61" i="5"/>
  <c r="W5" i="5"/>
  <c r="W7" i="5"/>
  <c r="W8" i="5"/>
  <c r="W9" i="5"/>
  <c r="W11" i="5"/>
  <c r="W12" i="5"/>
  <c r="W13" i="5"/>
  <c r="W15" i="5"/>
  <c r="W16" i="5"/>
  <c r="W17" i="5"/>
  <c r="W4" i="5"/>
  <c r="L19" i="6"/>
  <c r="L20" i="6"/>
  <c r="B1" i="6" l="1"/>
  <c r="M34" i="6"/>
  <c r="P5" i="12"/>
  <c r="U5" i="12" s="1"/>
  <c r="P6" i="12"/>
  <c r="U6" i="12" s="1"/>
  <c r="P9" i="12"/>
  <c r="U9" i="12" s="1"/>
  <c r="P4" i="12"/>
  <c r="U4" i="12" s="1"/>
  <c r="O5" i="12"/>
  <c r="T5" i="12" s="1"/>
  <c r="O6" i="12"/>
  <c r="T6" i="12" s="1"/>
  <c r="O7" i="12"/>
  <c r="T7" i="12" s="1"/>
  <c r="O8" i="12"/>
  <c r="T8" i="12" s="1"/>
  <c r="O9" i="12"/>
  <c r="T9" i="12" s="1"/>
  <c r="O4" i="12"/>
  <c r="T4" i="12" s="1"/>
  <c r="Q22" i="12"/>
  <c r="Q17" i="12"/>
  <c r="Q16" i="12"/>
  <c r="Q15" i="12"/>
  <c r="Q14" i="12"/>
  <c r="Q13" i="12"/>
  <c r="Q12" i="12"/>
  <c r="Q11" i="12"/>
  <c r="Q10" i="12"/>
  <c r="K19" i="12"/>
  <c r="G19" i="12"/>
  <c r="C19" i="12"/>
  <c r="M17" i="12"/>
  <c r="I17" i="12"/>
  <c r="E17" i="12"/>
  <c r="M16" i="12"/>
  <c r="I16" i="12"/>
  <c r="E16" i="12"/>
  <c r="M15" i="12"/>
  <c r="I15" i="12"/>
  <c r="E15" i="12"/>
  <c r="M14" i="12"/>
  <c r="I14" i="12"/>
  <c r="E14" i="12"/>
  <c r="M13" i="12"/>
  <c r="I13" i="12"/>
  <c r="E13" i="12"/>
  <c r="M12" i="12"/>
  <c r="I12" i="12"/>
  <c r="E12" i="12"/>
  <c r="M11" i="12"/>
  <c r="I11" i="12"/>
  <c r="E11" i="12"/>
  <c r="M10" i="12"/>
  <c r="I10" i="12"/>
  <c r="E10" i="12"/>
  <c r="M9" i="12"/>
  <c r="I9" i="12"/>
  <c r="E9" i="12"/>
  <c r="M8" i="12"/>
  <c r="I8" i="12"/>
  <c r="E8" i="12"/>
  <c r="M7" i="12"/>
  <c r="I7" i="12"/>
  <c r="E7" i="12"/>
  <c r="M6" i="12"/>
  <c r="I6" i="12"/>
  <c r="E6" i="12"/>
  <c r="M5" i="12"/>
  <c r="I5" i="12"/>
  <c r="E5" i="12"/>
  <c r="M4" i="12"/>
  <c r="I4" i="12"/>
  <c r="E4" i="12"/>
  <c r="K17" i="6"/>
  <c r="L17" i="6"/>
  <c r="K18" i="6"/>
  <c r="K16" i="6"/>
  <c r="K19" i="6"/>
  <c r="L21" i="6"/>
  <c r="L16" i="6"/>
  <c r="K21" i="6"/>
  <c r="K20" i="6"/>
  <c r="L18" i="6"/>
  <c r="K31" i="6" l="1"/>
  <c r="M7" i="6" s="1"/>
  <c r="V9" i="12"/>
  <c r="V8" i="12"/>
  <c r="V7" i="12"/>
  <c r="V6" i="12"/>
  <c r="V5" i="12"/>
  <c r="V4" i="12"/>
  <c r="T19" i="12"/>
  <c r="Q8" i="12"/>
  <c r="Q7" i="12"/>
  <c r="Q6" i="12"/>
  <c r="M22" i="1"/>
  <c r="Q7" i="13" s="1"/>
  <c r="M23" i="1"/>
  <c r="Q8" i="13" s="1"/>
  <c r="M24" i="1"/>
  <c r="Q9" i="13" s="1"/>
  <c r="M25" i="1"/>
  <c r="Q10" i="13" s="1"/>
  <c r="M26" i="1"/>
  <c r="Q11" i="13" s="1"/>
  <c r="M21" i="1"/>
  <c r="Q6" i="13" s="1"/>
  <c r="L21" i="1"/>
  <c r="P6" i="13" s="1"/>
  <c r="U6" i="13" s="1"/>
  <c r="L22" i="1"/>
  <c r="P7" i="13" s="1"/>
  <c r="L23" i="1"/>
  <c r="P8" i="13" s="1"/>
  <c r="L24" i="1"/>
  <c r="P9" i="13" s="1"/>
  <c r="L25" i="1"/>
  <c r="P10" i="13" s="1"/>
  <c r="L26" i="1"/>
  <c r="P11" i="13" s="1"/>
  <c r="M27" i="6"/>
  <c r="M28" i="6"/>
  <c r="M23" i="6"/>
  <c r="M24" i="6"/>
  <c r="M17" i="6"/>
  <c r="M29" i="6"/>
  <c r="M19" i="6"/>
  <c r="M16" i="6"/>
  <c r="M21" i="6"/>
  <c r="M18" i="6"/>
  <c r="M22" i="6"/>
  <c r="M26" i="6"/>
  <c r="M20" i="6"/>
  <c r="M25" i="6"/>
  <c r="Q9" i="12"/>
  <c r="Q4" i="12"/>
  <c r="O19" i="12"/>
  <c r="Q5" i="12"/>
  <c r="K20" i="12"/>
  <c r="G20" i="12"/>
  <c r="C20" i="12"/>
  <c r="K32" i="6" l="1"/>
  <c r="T20" i="12"/>
  <c r="U7" i="13"/>
  <c r="U8" i="13" s="1"/>
  <c r="V15" i="13"/>
  <c r="V16" i="13"/>
  <c r="V13" i="13"/>
  <c r="V14" i="13"/>
  <c r="V11" i="13"/>
  <c r="V12" i="13"/>
  <c r="V9" i="13"/>
  <c r="V10" i="13"/>
  <c r="V7" i="13"/>
  <c r="V8" i="13"/>
  <c r="V5" i="13"/>
  <c r="V6" i="13"/>
  <c r="W6" i="13" s="1"/>
  <c r="X6" i="13" s="1"/>
  <c r="O20" i="12"/>
  <c r="U9" i="13" l="1"/>
  <c r="W8" i="13"/>
  <c r="W7" i="13"/>
  <c r="X7" i="13" s="1"/>
  <c r="W2" i="5"/>
  <c r="X6" i="5" s="1"/>
  <c r="W58" i="5"/>
  <c r="S75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S19" i="5"/>
  <c r="U17" i="5"/>
  <c r="U16" i="5"/>
  <c r="U15" i="5"/>
  <c r="U14" i="5"/>
  <c r="U13" i="5"/>
  <c r="U12" i="5"/>
  <c r="U11" i="5"/>
  <c r="U10" i="5"/>
  <c r="U9" i="5"/>
  <c r="U8" i="5"/>
  <c r="U7" i="5"/>
  <c r="U6" i="5"/>
  <c r="U5" i="5"/>
  <c r="U4" i="5"/>
  <c r="O19" i="5"/>
  <c r="Q17" i="5"/>
  <c r="Q16" i="5"/>
  <c r="Q15" i="5"/>
  <c r="Q14" i="5"/>
  <c r="Q13" i="5"/>
  <c r="Q12" i="5"/>
  <c r="Q11" i="5"/>
  <c r="Q10" i="5"/>
  <c r="Q9" i="5"/>
  <c r="Q8" i="5"/>
  <c r="Q7" i="5"/>
  <c r="Q6" i="5"/>
  <c r="Q5" i="5"/>
  <c r="Q4" i="5"/>
  <c r="O75" i="5"/>
  <c r="Q73" i="5"/>
  <c r="Q72" i="5"/>
  <c r="Q71" i="5"/>
  <c r="Q70" i="5"/>
  <c r="Q69" i="5"/>
  <c r="Q68" i="5"/>
  <c r="Q67" i="5"/>
  <c r="Q66" i="5"/>
  <c r="Q65" i="5"/>
  <c r="Q64" i="5"/>
  <c r="Q63" i="5"/>
  <c r="Q62" i="5"/>
  <c r="Q61" i="5"/>
  <c r="Q60" i="5"/>
  <c r="X5" i="5" l="1"/>
  <c r="X8" i="13"/>
  <c r="U10" i="13"/>
  <c r="W9" i="13"/>
  <c r="X70" i="5"/>
  <c r="X69" i="5"/>
  <c r="X67" i="5"/>
  <c r="X62" i="5"/>
  <c r="X61" i="5"/>
  <c r="X66" i="5"/>
  <c r="X63" i="5"/>
  <c r="X65" i="5"/>
  <c r="X71" i="5"/>
  <c r="X15" i="5"/>
  <c r="X13" i="5"/>
  <c r="X7" i="5"/>
  <c r="X14" i="5"/>
  <c r="X10" i="5"/>
  <c r="X9" i="5"/>
  <c r="X11" i="5"/>
  <c r="O20" i="5"/>
  <c r="S20" i="5"/>
  <c r="O76" i="5"/>
  <c r="S76" i="5"/>
  <c r="X9" i="13" l="1"/>
  <c r="U11" i="13"/>
  <c r="W10" i="13"/>
  <c r="X10" i="13" l="1"/>
  <c r="U12" i="13"/>
  <c r="W11" i="13"/>
  <c r="A2" i="9"/>
  <c r="B2" i="9"/>
  <c r="C2" i="9"/>
  <c r="D2" i="9"/>
  <c r="E2" i="9"/>
  <c r="A3" i="9"/>
  <c r="B3" i="9"/>
  <c r="C3" i="9"/>
  <c r="D3" i="9"/>
  <c r="E3" i="9"/>
  <c r="A4" i="9"/>
  <c r="B4" i="9"/>
  <c r="C4" i="9"/>
  <c r="D4" i="9"/>
  <c r="E4" i="9"/>
  <c r="A5" i="9"/>
  <c r="B5" i="9"/>
  <c r="A6" i="9"/>
  <c r="B6" i="9"/>
  <c r="A7" i="9"/>
  <c r="B7" i="9"/>
  <c r="A8" i="9"/>
  <c r="B8" i="9"/>
  <c r="A9" i="9"/>
  <c r="B9" i="9"/>
  <c r="A10" i="9"/>
  <c r="B10" i="9"/>
  <c r="A11" i="9"/>
  <c r="B11" i="9"/>
  <c r="A12" i="9"/>
  <c r="B12" i="9"/>
  <c r="A13" i="9"/>
  <c r="B13" i="9"/>
  <c r="A14" i="9"/>
  <c r="B14" i="9"/>
  <c r="A15" i="9"/>
  <c r="B15" i="9"/>
  <c r="A16" i="9"/>
  <c r="B16" i="9"/>
  <c r="A17" i="9"/>
  <c r="B17" i="9"/>
  <c r="A18" i="9"/>
  <c r="B18" i="9"/>
  <c r="A19" i="9"/>
  <c r="B19" i="9"/>
  <c r="C19" i="9"/>
  <c r="D19" i="9"/>
  <c r="E19" i="9"/>
  <c r="A20" i="9"/>
  <c r="B20" i="9"/>
  <c r="D20" i="9"/>
  <c r="E20" i="9"/>
  <c r="A21" i="9"/>
  <c r="B21" i="9"/>
  <c r="D21" i="9"/>
  <c r="E21" i="9"/>
  <c r="A22" i="9"/>
  <c r="B22" i="9"/>
  <c r="C22" i="9"/>
  <c r="D22" i="9"/>
  <c r="E22" i="9"/>
  <c r="A23" i="9"/>
  <c r="B23" i="9"/>
  <c r="C23" i="9"/>
  <c r="D23" i="9"/>
  <c r="A24" i="9"/>
  <c r="B24" i="9"/>
  <c r="C24" i="9"/>
  <c r="D24" i="9"/>
  <c r="E24" i="9"/>
  <c r="K47" i="1"/>
  <c r="X78" i="5"/>
  <c r="X22" i="5"/>
  <c r="X73" i="5"/>
  <c r="X72" i="5"/>
  <c r="X68" i="5"/>
  <c r="X64" i="5"/>
  <c r="X60" i="5"/>
  <c r="Y5" i="5"/>
  <c r="E115" i="5" s="1"/>
  <c r="X4" i="5"/>
  <c r="X17" i="5"/>
  <c r="X16" i="5"/>
  <c r="X12" i="5"/>
  <c r="X8" i="5"/>
  <c r="Y11" i="5"/>
  <c r="E121" i="5" s="1"/>
  <c r="K103" i="5"/>
  <c r="G103" i="5"/>
  <c r="M101" i="5"/>
  <c r="I101" i="5"/>
  <c r="E101" i="5"/>
  <c r="M100" i="5"/>
  <c r="I100" i="5"/>
  <c r="E100" i="5"/>
  <c r="M99" i="5"/>
  <c r="I99" i="5"/>
  <c r="E99" i="5"/>
  <c r="M98" i="5"/>
  <c r="I98" i="5"/>
  <c r="E98" i="5"/>
  <c r="M97" i="5"/>
  <c r="I97" i="5"/>
  <c r="E97" i="5"/>
  <c r="M96" i="5"/>
  <c r="I96" i="5"/>
  <c r="E96" i="5"/>
  <c r="M95" i="5"/>
  <c r="I95" i="5"/>
  <c r="E95" i="5"/>
  <c r="M94" i="5"/>
  <c r="I94" i="5"/>
  <c r="E94" i="5"/>
  <c r="M93" i="5"/>
  <c r="I93" i="5"/>
  <c r="E93" i="5"/>
  <c r="M92" i="5"/>
  <c r="I92" i="5"/>
  <c r="E92" i="5"/>
  <c r="M91" i="5"/>
  <c r="I91" i="5"/>
  <c r="E91" i="5"/>
  <c r="M90" i="5"/>
  <c r="I90" i="5"/>
  <c r="E90" i="5"/>
  <c r="M89" i="5"/>
  <c r="I89" i="5"/>
  <c r="E89" i="5"/>
  <c r="M88" i="5"/>
  <c r="I88" i="5"/>
  <c r="E88" i="5"/>
  <c r="M78" i="5"/>
  <c r="E78" i="5"/>
  <c r="K75" i="5"/>
  <c r="G75" i="5"/>
  <c r="C75" i="5"/>
  <c r="M73" i="5"/>
  <c r="I73" i="5"/>
  <c r="E73" i="5"/>
  <c r="M72" i="5"/>
  <c r="I72" i="5"/>
  <c r="E72" i="5"/>
  <c r="M71" i="5"/>
  <c r="I71" i="5"/>
  <c r="E71" i="5"/>
  <c r="M70" i="5"/>
  <c r="I70" i="5"/>
  <c r="E70" i="5"/>
  <c r="M69" i="5"/>
  <c r="I69" i="5"/>
  <c r="E69" i="5"/>
  <c r="M68" i="5"/>
  <c r="I68" i="5"/>
  <c r="E68" i="5"/>
  <c r="M67" i="5"/>
  <c r="I67" i="5"/>
  <c r="E67" i="5"/>
  <c r="M66" i="5"/>
  <c r="I66" i="5"/>
  <c r="E66" i="5"/>
  <c r="M65" i="5"/>
  <c r="I65" i="5"/>
  <c r="E65" i="5"/>
  <c r="M64" i="5"/>
  <c r="I64" i="5"/>
  <c r="E64" i="5"/>
  <c r="M63" i="5"/>
  <c r="I63" i="5"/>
  <c r="E63" i="5"/>
  <c r="M62" i="5"/>
  <c r="I62" i="5"/>
  <c r="E62" i="5"/>
  <c r="M61" i="5"/>
  <c r="I61" i="5"/>
  <c r="E61" i="5"/>
  <c r="M60" i="5"/>
  <c r="I60" i="5"/>
  <c r="E60" i="5"/>
  <c r="M49" i="5"/>
  <c r="I49" i="5"/>
  <c r="K46" i="5"/>
  <c r="G46" i="5"/>
  <c r="C46" i="5"/>
  <c r="M44" i="5"/>
  <c r="I44" i="5"/>
  <c r="E44" i="5"/>
  <c r="M43" i="5"/>
  <c r="I43" i="5"/>
  <c r="E43" i="5"/>
  <c r="M42" i="5"/>
  <c r="I42" i="5"/>
  <c r="E42" i="5"/>
  <c r="M41" i="5"/>
  <c r="I41" i="5"/>
  <c r="E41" i="5"/>
  <c r="M40" i="5"/>
  <c r="I40" i="5"/>
  <c r="E40" i="5"/>
  <c r="M39" i="5"/>
  <c r="I39" i="5"/>
  <c r="E39" i="5"/>
  <c r="M38" i="5"/>
  <c r="I38" i="5"/>
  <c r="E38" i="5"/>
  <c r="M37" i="5"/>
  <c r="I37" i="5"/>
  <c r="E37" i="5"/>
  <c r="M36" i="5"/>
  <c r="I36" i="5"/>
  <c r="E36" i="5"/>
  <c r="M35" i="5"/>
  <c r="I35" i="5"/>
  <c r="E35" i="5"/>
  <c r="M34" i="5"/>
  <c r="I34" i="5"/>
  <c r="E34" i="5"/>
  <c r="M33" i="5"/>
  <c r="I33" i="5"/>
  <c r="E33" i="5"/>
  <c r="M32" i="5"/>
  <c r="I32" i="5"/>
  <c r="E32" i="5"/>
  <c r="M31" i="5"/>
  <c r="I31" i="5"/>
  <c r="E31" i="5"/>
  <c r="K19" i="5"/>
  <c r="G19" i="5"/>
  <c r="C19" i="5"/>
  <c r="M17" i="5"/>
  <c r="I17" i="5"/>
  <c r="E17" i="5"/>
  <c r="M16" i="5"/>
  <c r="I16" i="5"/>
  <c r="E16" i="5"/>
  <c r="M15" i="5"/>
  <c r="I15" i="5"/>
  <c r="E15" i="5"/>
  <c r="M14" i="5"/>
  <c r="I14" i="5"/>
  <c r="E14" i="5"/>
  <c r="M13" i="5"/>
  <c r="I13" i="5"/>
  <c r="E13" i="5"/>
  <c r="M12" i="5"/>
  <c r="I12" i="5"/>
  <c r="E12" i="5"/>
  <c r="M11" i="5"/>
  <c r="I11" i="5"/>
  <c r="E11" i="5"/>
  <c r="M10" i="5"/>
  <c r="I10" i="5"/>
  <c r="E10" i="5"/>
  <c r="M9" i="5"/>
  <c r="I9" i="5"/>
  <c r="E9" i="5"/>
  <c r="M8" i="5"/>
  <c r="I8" i="5"/>
  <c r="E8" i="5"/>
  <c r="M7" i="5"/>
  <c r="I7" i="5"/>
  <c r="E7" i="5"/>
  <c r="M6" i="5"/>
  <c r="I6" i="5"/>
  <c r="E6" i="5"/>
  <c r="M5" i="5"/>
  <c r="I5" i="5"/>
  <c r="E5" i="5"/>
  <c r="M4" i="5"/>
  <c r="I4" i="5"/>
  <c r="E4" i="5"/>
  <c r="G34" i="6"/>
  <c r="E23" i="9" s="1"/>
  <c r="B2" i="6"/>
  <c r="B111" i="17" s="1"/>
  <c r="B4" i="6"/>
  <c r="B7" i="6"/>
  <c r="B8" i="6"/>
  <c r="B9" i="6"/>
  <c r="B10" i="6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L37" i="1"/>
  <c r="N26" i="1"/>
  <c r="R11" i="13" s="1"/>
  <c r="N25" i="1"/>
  <c r="R10" i="13" s="1"/>
  <c r="N24" i="1"/>
  <c r="R9" i="13" s="1"/>
  <c r="N23" i="1"/>
  <c r="R8" i="13" s="1"/>
  <c r="N22" i="1"/>
  <c r="R7" i="13" s="1"/>
  <c r="N21" i="1"/>
  <c r="R6" i="13" s="1"/>
  <c r="L18" i="1"/>
  <c r="C18" i="1"/>
  <c r="C117" i="17" l="1"/>
  <c r="D118" i="17"/>
  <c r="D122" i="17"/>
  <c r="C121" i="17"/>
  <c r="C125" i="17"/>
  <c r="D126" i="17"/>
  <c r="C119" i="17"/>
  <c r="C118" i="17"/>
  <c r="C120" i="17"/>
  <c r="C115" i="17"/>
  <c r="C114" i="17"/>
  <c r="D127" i="17"/>
  <c r="C127" i="17"/>
  <c r="D119" i="17"/>
  <c r="D114" i="17"/>
  <c r="C116" i="17"/>
  <c r="C124" i="17"/>
  <c r="C123" i="17"/>
  <c r="C122" i="17"/>
  <c r="C126" i="17"/>
  <c r="D123" i="17"/>
  <c r="D120" i="17"/>
  <c r="D125" i="17"/>
  <c r="D121" i="17"/>
  <c r="D115" i="17"/>
  <c r="D116" i="17"/>
  <c r="D124" i="17"/>
  <c r="D117" i="17"/>
  <c r="K5" i="6"/>
  <c r="M6" i="6" s="1"/>
  <c r="N7" i="6"/>
  <c r="O1" i="14"/>
  <c r="B111" i="5"/>
  <c r="C114" i="5" s="1"/>
  <c r="X11" i="13"/>
  <c r="U13" i="13"/>
  <c r="W12" i="13"/>
  <c r="W70" i="5"/>
  <c r="Y70" i="5" s="1"/>
  <c r="W6" i="5"/>
  <c r="Y6" i="5" s="1"/>
  <c r="E116" i="5" s="1"/>
  <c r="W62" i="5"/>
  <c r="Y62" i="5" s="1"/>
  <c r="W14" i="5"/>
  <c r="Y14" i="5" s="1"/>
  <c r="E124" i="5" s="1"/>
  <c r="W10" i="5"/>
  <c r="Y10" i="5" s="1"/>
  <c r="E120" i="5" s="1"/>
  <c r="W66" i="5"/>
  <c r="Y66" i="5" s="1"/>
  <c r="Y65" i="5"/>
  <c r="N38" i="1"/>
  <c r="N39" i="1" s="1"/>
  <c r="G47" i="5"/>
  <c r="K47" i="5"/>
  <c r="G20" i="5"/>
  <c r="Y68" i="5"/>
  <c r="Y64" i="5"/>
  <c r="Y61" i="5"/>
  <c r="Y69" i="5"/>
  <c r="Y63" i="5"/>
  <c r="Y71" i="5"/>
  <c r="Y17" i="5"/>
  <c r="E127" i="5" s="1"/>
  <c r="Y15" i="5"/>
  <c r="E125" i="5" s="1"/>
  <c r="Y12" i="5"/>
  <c r="E122" i="5" s="1"/>
  <c r="Y8" i="5"/>
  <c r="E118" i="5" s="1"/>
  <c r="Y7" i="5"/>
  <c r="E117" i="5" s="1"/>
  <c r="Y16" i="5"/>
  <c r="E126" i="5" s="1"/>
  <c r="Y67" i="5"/>
  <c r="C20" i="5"/>
  <c r="C47" i="5"/>
  <c r="C76" i="5"/>
  <c r="K20" i="5"/>
  <c r="C104" i="5"/>
  <c r="G104" i="5"/>
  <c r="K104" i="5"/>
  <c r="Y72" i="5"/>
  <c r="G76" i="5"/>
  <c r="K76" i="5"/>
  <c r="Y73" i="5"/>
  <c r="Y60" i="5"/>
  <c r="Y13" i="5"/>
  <c r="E123" i="5" s="1"/>
  <c r="Y9" i="5"/>
  <c r="E119" i="5" s="1"/>
  <c r="C130" i="17" l="1"/>
  <c r="E132" i="17" s="1"/>
  <c r="D122" i="5"/>
  <c r="D125" i="5"/>
  <c r="D116" i="5"/>
  <c r="N6" i="6"/>
  <c r="N8" i="6" s="1"/>
  <c r="M9" i="6"/>
  <c r="C118" i="5"/>
  <c r="C117" i="5"/>
  <c r="C125" i="5"/>
  <c r="D123" i="5"/>
  <c r="D115" i="5"/>
  <c r="D117" i="5"/>
  <c r="D121" i="5"/>
  <c r="C120" i="5"/>
  <c r="D127" i="5"/>
  <c r="D119" i="5"/>
  <c r="D120" i="5"/>
  <c r="C119" i="5"/>
  <c r="D124" i="5"/>
  <c r="D126" i="5"/>
  <c r="C123" i="5"/>
  <c r="D118" i="5"/>
  <c r="C121" i="5"/>
  <c r="C122" i="5"/>
  <c r="C127" i="5"/>
  <c r="C115" i="5"/>
  <c r="D114" i="5"/>
  <c r="C126" i="5"/>
  <c r="P4" i="14"/>
  <c r="P7" i="14"/>
  <c r="P6" i="14"/>
  <c r="P5" i="14"/>
  <c r="W75" i="5"/>
  <c r="W76" i="5" s="1"/>
  <c r="X12" i="13"/>
  <c r="U14" i="13"/>
  <c r="W13" i="13"/>
  <c r="C116" i="5"/>
  <c r="C124" i="5"/>
  <c r="F28" i="6"/>
  <c r="S19" i="6"/>
  <c r="E20" i="6"/>
  <c r="F21" i="6"/>
  <c r="F22" i="6"/>
  <c r="E25" i="6"/>
  <c r="E19" i="6"/>
  <c r="F20" i="6"/>
  <c r="E21" i="6"/>
  <c r="F23" i="6"/>
  <c r="E18" i="6"/>
  <c r="E23" i="6"/>
  <c r="F16" i="6"/>
  <c r="F27" i="6"/>
  <c r="F18" i="6"/>
  <c r="E29" i="6"/>
  <c r="E26" i="6"/>
  <c r="S17" i="6"/>
  <c r="F26" i="6"/>
  <c r="F29" i="6"/>
  <c r="F24" i="6"/>
  <c r="S18" i="6"/>
  <c r="E27" i="6"/>
  <c r="F17" i="6"/>
  <c r="F19" i="6"/>
  <c r="S16" i="6"/>
  <c r="F25" i="6"/>
  <c r="E24" i="6"/>
  <c r="E17" i="6"/>
  <c r="E22" i="6"/>
  <c r="E28" i="6"/>
  <c r="D7" i="9" l="1"/>
  <c r="E23" i="1"/>
  <c r="D8" i="13" s="1"/>
  <c r="I10" i="13" s="1"/>
  <c r="I9" i="13" s="1"/>
  <c r="D16" i="9"/>
  <c r="E32" i="1"/>
  <c r="D17" i="13" s="1"/>
  <c r="I28" i="13" s="1"/>
  <c r="I27" i="13" s="1"/>
  <c r="D13" i="9"/>
  <c r="E29" i="1"/>
  <c r="D14" i="13" s="1"/>
  <c r="I22" i="13" s="1"/>
  <c r="I21" i="13" s="1"/>
  <c r="N9" i="6"/>
  <c r="K11" i="1" s="1"/>
  <c r="D11" i="9"/>
  <c r="E27" i="1"/>
  <c r="D12" i="13" s="1"/>
  <c r="I18" i="13" s="1"/>
  <c r="I17" i="13" s="1"/>
  <c r="G24" i="6"/>
  <c r="E13" i="9" s="1"/>
  <c r="C13" i="9"/>
  <c r="D29" i="1"/>
  <c r="C14" i="13" s="1"/>
  <c r="D28" i="1"/>
  <c r="C13" i="13" s="1"/>
  <c r="C12" i="9"/>
  <c r="G23" i="6"/>
  <c r="E12" i="9" s="1"/>
  <c r="G20" i="6"/>
  <c r="E9" i="9" s="1"/>
  <c r="D25" i="1"/>
  <c r="C10" i="13" s="1"/>
  <c r="C9" i="9"/>
  <c r="C11" i="9"/>
  <c r="G22" i="6"/>
  <c r="E11" i="9" s="1"/>
  <c r="D27" i="1"/>
  <c r="C12" i="13" s="1"/>
  <c r="C14" i="9"/>
  <c r="D30" i="1"/>
  <c r="C15" i="13" s="1"/>
  <c r="G25" i="6"/>
  <c r="E14" i="9" s="1"/>
  <c r="D12" i="9"/>
  <c r="E28" i="1"/>
  <c r="D13" i="13" s="1"/>
  <c r="I20" i="13" s="1"/>
  <c r="I19" i="13" s="1"/>
  <c r="C16" i="9"/>
  <c r="G27" i="6"/>
  <c r="E16" i="9" s="1"/>
  <c r="D32" i="1"/>
  <c r="C17" i="13" s="1"/>
  <c r="E26" i="1"/>
  <c r="D11" i="13" s="1"/>
  <c r="I16" i="13" s="1"/>
  <c r="I15" i="13" s="1"/>
  <c r="D10" i="9"/>
  <c r="E34" i="1"/>
  <c r="D19" i="13" s="1"/>
  <c r="I32" i="13" s="1"/>
  <c r="I31" i="13" s="1"/>
  <c r="D18" i="9"/>
  <c r="D9" i="9"/>
  <c r="E25" i="1"/>
  <c r="D10" i="13" s="1"/>
  <c r="I14" i="13" s="1"/>
  <c r="I13" i="13" s="1"/>
  <c r="E33" i="1"/>
  <c r="D18" i="13" s="1"/>
  <c r="I30" i="13" s="1"/>
  <c r="I29" i="13" s="1"/>
  <c r="D17" i="9"/>
  <c r="E24" i="1"/>
  <c r="D9" i="13" s="1"/>
  <c r="I12" i="13" s="1"/>
  <c r="I11" i="13" s="1"/>
  <c r="D8" i="9"/>
  <c r="D34" i="1"/>
  <c r="C19" i="13" s="1"/>
  <c r="G29" i="6"/>
  <c r="E18" i="9" s="1"/>
  <c r="C18" i="9"/>
  <c r="C8" i="9"/>
  <c r="D24" i="1"/>
  <c r="C9" i="13" s="1"/>
  <c r="G19" i="6"/>
  <c r="E8" i="9" s="1"/>
  <c r="E31" i="1"/>
  <c r="D16" i="13" s="1"/>
  <c r="I26" i="13" s="1"/>
  <c r="I25" i="13" s="1"/>
  <c r="D15" i="9"/>
  <c r="E22" i="1"/>
  <c r="D7" i="13" s="1"/>
  <c r="I8" i="13" s="1"/>
  <c r="D6" i="9"/>
  <c r="C10" i="9"/>
  <c r="D26" i="1"/>
  <c r="C11" i="13" s="1"/>
  <c r="G21" i="6"/>
  <c r="E10" i="9" s="1"/>
  <c r="E30" i="1"/>
  <c r="D15" i="13" s="1"/>
  <c r="I24" i="13" s="1"/>
  <c r="I23" i="13" s="1"/>
  <c r="D14" i="9"/>
  <c r="E21" i="1"/>
  <c r="D6" i="13" s="1"/>
  <c r="I6" i="13" s="1"/>
  <c r="I5" i="13" s="1"/>
  <c r="J5" i="13" s="1"/>
  <c r="D5" i="9"/>
  <c r="D22" i="1"/>
  <c r="C7" i="13" s="1"/>
  <c r="C6" i="9"/>
  <c r="G17" i="6"/>
  <c r="E6" i="9" s="1"/>
  <c r="U22" i="1"/>
  <c r="T17" i="6"/>
  <c r="U23" i="1"/>
  <c r="T18" i="6"/>
  <c r="U24" i="1"/>
  <c r="T19" i="6"/>
  <c r="T16" i="6"/>
  <c r="U21" i="1"/>
  <c r="D33" i="1"/>
  <c r="G28" i="6"/>
  <c r="E17" i="9" s="1"/>
  <c r="C17" i="9"/>
  <c r="Q5" i="14"/>
  <c r="Q6" i="14"/>
  <c r="Q7" i="14"/>
  <c r="Q4" i="14"/>
  <c r="D24" i="13"/>
  <c r="X13" i="13"/>
  <c r="U15" i="13"/>
  <c r="W14" i="13"/>
  <c r="D31" i="1"/>
  <c r="C15" i="9"/>
  <c r="G26" i="6"/>
  <c r="E15" i="9" s="1"/>
  <c r="G18" i="6"/>
  <c r="E7" i="9" s="1"/>
  <c r="D23" i="1"/>
  <c r="C7" i="9"/>
  <c r="W19" i="5"/>
  <c r="Y4" i="5"/>
  <c r="C130" i="5"/>
  <c r="E16" i="6"/>
  <c r="L41" i="1" l="1"/>
  <c r="F29" i="1"/>
  <c r="E14" i="13" s="1"/>
  <c r="F33" i="1"/>
  <c r="E18" i="13" s="1"/>
  <c r="F27" i="1"/>
  <c r="E12" i="13" s="1"/>
  <c r="F32" i="1"/>
  <c r="E17" i="13" s="1"/>
  <c r="F26" i="1"/>
  <c r="E11" i="13" s="1"/>
  <c r="F24" i="1"/>
  <c r="E9" i="13" s="1"/>
  <c r="C18" i="13"/>
  <c r="Q10" i="14"/>
  <c r="F25" i="1"/>
  <c r="E10" i="13" s="1"/>
  <c r="F22" i="1"/>
  <c r="E7" i="13" s="1"/>
  <c r="F34" i="1"/>
  <c r="E19" i="13" s="1"/>
  <c r="F28" i="1"/>
  <c r="E13" i="13" s="1"/>
  <c r="F30" i="1"/>
  <c r="E15" i="13" s="1"/>
  <c r="R32" i="6"/>
  <c r="D38" i="13"/>
  <c r="V21" i="1"/>
  <c r="D41" i="13"/>
  <c r="I45" i="13" s="1"/>
  <c r="J45" i="13" s="1"/>
  <c r="V24" i="1"/>
  <c r="E41" i="13" s="1"/>
  <c r="D40" i="13"/>
  <c r="V23" i="1"/>
  <c r="E40" i="13" s="1"/>
  <c r="D39" i="13"/>
  <c r="V22" i="1"/>
  <c r="E39" i="13" s="1"/>
  <c r="W20" i="5"/>
  <c r="X14" i="13"/>
  <c r="U16" i="13"/>
  <c r="W15" i="13"/>
  <c r="I7" i="13"/>
  <c r="F23" i="1"/>
  <c r="E8" i="13" s="1"/>
  <c r="C8" i="13"/>
  <c r="F31" i="1"/>
  <c r="E16" i="13" s="1"/>
  <c r="C16" i="13"/>
  <c r="E114" i="5"/>
  <c r="E131" i="5" s="1"/>
  <c r="E132" i="5" s="1"/>
  <c r="E31" i="6"/>
  <c r="D21" i="1"/>
  <c r="C6" i="13" s="1"/>
  <c r="G16" i="6"/>
  <c r="C5" i="9"/>
  <c r="K5" i="9" s="1"/>
  <c r="F7" i="6" l="1"/>
  <c r="G7" i="6" s="1"/>
  <c r="G8" i="6" s="1"/>
  <c r="C20" i="9"/>
  <c r="I41" i="13"/>
  <c r="J41" i="13" s="1"/>
  <c r="I42" i="13"/>
  <c r="J42" i="13" s="1"/>
  <c r="I43" i="13"/>
  <c r="J43" i="13" s="1"/>
  <c r="I44" i="13"/>
  <c r="J44" i="13" s="1"/>
  <c r="E38" i="13"/>
  <c r="V38" i="1"/>
  <c r="I40" i="13"/>
  <c r="J40" i="13" s="1"/>
  <c r="K40" i="13" s="1"/>
  <c r="I39" i="13"/>
  <c r="J39" i="13" s="1"/>
  <c r="X15" i="13"/>
  <c r="U17" i="13"/>
  <c r="W17" i="13" s="1"/>
  <c r="W16" i="13"/>
  <c r="H6" i="13"/>
  <c r="K8" i="9"/>
  <c r="K7" i="9"/>
  <c r="K10" i="9" s="1"/>
  <c r="H5" i="9"/>
  <c r="H6" i="9" s="1"/>
  <c r="H7" i="9" s="1"/>
  <c r="H8" i="9" s="1"/>
  <c r="H9" i="9" s="1"/>
  <c r="H10" i="9" s="1"/>
  <c r="H11" i="9" s="1"/>
  <c r="H12" i="9" s="1"/>
  <c r="H13" i="9" s="1"/>
  <c r="H14" i="9" s="1"/>
  <c r="H15" i="9" s="1"/>
  <c r="H16" i="9" s="1"/>
  <c r="H17" i="9" s="1"/>
  <c r="H18" i="9" s="1"/>
  <c r="K6" i="9"/>
  <c r="E5" i="9"/>
  <c r="E32" i="6"/>
  <c r="C21" i="9" s="1"/>
  <c r="F21" i="1"/>
  <c r="F38" i="1" s="1"/>
  <c r="D37" i="1"/>
  <c r="C22" i="13" s="1"/>
  <c r="F9" i="6" l="1"/>
  <c r="G9" i="6" s="1"/>
  <c r="K9" i="1" s="1"/>
  <c r="K41" i="13"/>
  <c r="K42" i="13" s="1"/>
  <c r="K43" i="13" s="1"/>
  <c r="K44" i="13" s="1"/>
  <c r="K45" i="13" s="1"/>
  <c r="V39" i="1"/>
  <c r="C44" i="13"/>
  <c r="F39" i="1"/>
  <c r="X16" i="13"/>
  <c r="X17" i="13" s="1"/>
  <c r="J6" i="13"/>
  <c r="K6" i="13" s="1"/>
  <c r="H8" i="13"/>
  <c r="H7" i="13"/>
  <c r="J7" i="13" s="1"/>
  <c r="E23" i="13"/>
  <c r="E6" i="13"/>
  <c r="K9" i="9"/>
  <c r="K12" i="9" s="1"/>
  <c r="D41" i="1" l="1"/>
  <c r="D42" i="1" s="1"/>
  <c r="L42" i="1"/>
  <c r="L43" i="1" s="1"/>
  <c r="T41" i="1"/>
  <c r="C45" i="13"/>
  <c r="K7" i="13"/>
  <c r="H10" i="13"/>
  <c r="H12" i="13" s="1"/>
  <c r="J12" i="13" s="1"/>
  <c r="J8" i="13"/>
  <c r="H9" i="13"/>
  <c r="J9" i="13" s="1"/>
  <c r="K11" i="9"/>
  <c r="K14" i="9" s="1"/>
  <c r="T42" i="1" l="1"/>
  <c r="C47" i="13"/>
  <c r="K8" i="13"/>
  <c r="K9" i="13" s="1"/>
  <c r="H11" i="13"/>
  <c r="J11" i="13" s="1"/>
  <c r="J10" i="13"/>
  <c r="E24" i="13"/>
  <c r="H14" i="13"/>
  <c r="J14" i="13" s="1"/>
  <c r="H13" i="13"/>
  <c r="J13" i="13" s="1"/>
  <c r="C26" i="13"/>
  <c r="K13" i="9"/>
  <c r="K16" i="9" s="1"/>
  <c r="T43" i="1" l="1"/>
  <c r="C49" i="13" s="1"/>
  <c r="C48" i="13"/>
  <c r="K10" i="13"/>
  <c r="K11" i="13" s="1"/>
  <c r="K12" i="13" s="1"/>
  <c r="K13" i="13" s="1"/>
  <c r="K14" i="13" s="1"/>
  <c r="H16" i="13"/>
  <c r="J16" i="13" s="1"/>
  <c r="H15" i="13"/>
  <c r="J15" i="13" s="1"/>
  <c r="K15" i="9"/>
  <c r="K18" i="9" s="1"/>
  <c r="D43" i="1"/>
  <c r="C28" i="13" s="1"/>
  <c r="C27" i="13"/>
  <c r="K17" i="9" l="1"/>
  <c r="K19" i="9" s="1"/>
  <c r="K15" i="13"/>
  <c r="K16" i="13" s="1"/>
  <c r="H18" i="13"/>
  <c r="J18" i="13" s="1"/>
  <c r="H17" i="13"/>
  <c r="J17" i="13" s="1"/>
  <c r="K20" i="9" l="1"/>
  <c r="K17" i="13"/>
  <c r="K18" i="13" s="1"/>
  <c r="H20" i="13"/>
  <c r="J20" i="13" s="1"/>
  <c r="H19" i="13"/>
  <c r="J19" i="13" s="1"/>
  <c r="K22" i="9"/>
  <c r="K21" i="9"/>
  <c r="K19" i="13" l="1"/>
  <c r="K20" i="13" s="1"/>
  <c r="H22" i="13"/>
  <c r="J22" i="13" s="1"/>
  <c r="H21" i="13"/>
  <c r="J21" i="13" s="1"/>
  <c r="K24" i="9"/>
  <c r="K23" i="9"/>
  <c r="K21" i="13" l="1"/>
  <c r="K22" i="13" s="1"/>
  <c r="H24" i="13"/>
  <c r="J24" i="13" s="1"/>
  <c r="H23" i="13"/>
  <c r="J23" i="13" s="1"/>
  <c r="K26" i="9"/>
  <c r="K25" i="9"/>
  <c r="K23" i="13" l="1"/>
  <c r="K24" i="13" s="1"/>
  <c r="H26" i="13"/>
  <c r="J26" i="13" s="1"/>
  <c r="H25" i="13"/>
  <c r="J25" i="13" s="1"/>
  <c r="K28" i="9"/>
  <c r="K27" i="9"/>
  <c r="K25" i="13" l="1"/>
  <c r="K26" i="13" s="1"/>
  <c r="H28" i="13"/>
  <c r="J28" i="13" s="1"/>
  <c r="H27" i="13"/>
  <c r="J27" i="13" s="1"/>
  <c r="K29" i="9"/>
  <c r="K30" i="9"/>
  <c r="K27" i="13" l="1"/>
  <c r="K28" i="13" s="1"/>
  <c r="H30" i="13"/>
  <c r="J30" i="13" s="1"/>
  <c r="H29" i="13"/>
  <c r="J29" i="13" s="1"/>
  <c r="K31" i="9"/>
  <c r="K32" i="9"/>
  <c r="K29" i="13" l="1"/>
  <c r="K30" i="13" s="1"/>
  <c r="H32" i="13"/>
  <c r="H31" i="13"/>
  <c r="J31" i="13" s="1"/>
  <c r="K31" i="13" l="1"/>
  <c r="H33" i="13"/>
  <c r="J33" i="13" s="1"/>
  <c r="J32" i="13"/>
  <c r="K32" i="13" l="1"/>
  <c r="K33" i="13" s="1"/>
  <c r="AB28" i="17" l="1"/>
  <c r="X5" i="17" s="1"/>
  <c r="Y5" i="17" s="1"/>
  <c r="E115" i="17" s="1"/>
  <c r="AB16" i="17" l="1"/>
  <c r="AB17" i="17"/>
</calcChain>
</file>

<file path=xl/sharedStrings.xml><?xml version="1.0" encoding="utf-8"?>
<sst xmlns="http://schemas.openxmlformats.org/spreadsheetml/2006/main" count="1551" uniqueCount="246">
  <si>
    <t>Bluetooth low energy consumption</t>
  </si>
  <si>
    <t>Supply Voltage</t>
  </si>
  <si>
    <t>Battery capacity [mAh]</t>
  </si>
  <si>
    <t>Output Power [dBm]</t>
  </si>
  <si>
    <t>Advertising Interval [ms]</t>
  </si>
  <si>
    <t>Advertising data length (legacy) [#bytes]</t>
  </si>
  <si>
    <t>Connection Interval [ms]</t>
  </si>
  <si>
    <t>Connection data length [#bytes]</t>
  </si>
  <si>
    <t>Scan Response data length [#bytes]</t>
  </si>
  <si>
    <t>Voltage Regulator</t>
  </si>
  <si>
    <t>GLDO</t>
  </si>
  <si>
    <t>Known limits</t>
  </si>
  <si>
    <t>** We assume only one packet per connection interval</t>
  </si>
  <si>
    <t>Blue-colored cells are inputs.</t>
  </si>
  <si>
    <t>Hardware</t>
  </si>
  <si>
    <t>Revision</t>
  </si>
  <si>
    <t>Date</t>
  </si>
  <si>
    <t>Device</t>
  </si>
  <si>
    <t>Activity 1:</t>
  </si>
  <si>
    <t>State</t>
  </si>
  <si>
    <t>Time
[µs]</t>
  </si>
  <si>
    <t>Current [mA]</t>
  </si>
  <si>
    <t>Time * Current</t>
  </si>
  <si>
    <t>Wake Up &amp; Pre-Processing</t>
  </si>
  <si>
    <t>Radio Preparation</t>
  </si>
  <si>
    <t>Transmit (TX)</t>
  </si>
  <si>
    <t>TX to RX transition</t>
  </si>
  <si>
    <t>Recieve (RX)</t>
  </si>
  <si>
    <t>RX to TX transition</t>
  </si>
  <si>
    <t>Post-Processing</t>
  </si>
  <si>
    <t>uA</t>
  </si>
  <si>
    <t>Hours</t>
  </si>
  <si>
    <t>Days</t>
  </si>
  <si>
    <t>Activity 2:</t>
  </si>
  <si>
    <r>
      <t>Time 
[</t>
    </r>
    <r>
      <rPr>
        <sz val="10"/>
        <rFont val="Calibri"/>
        <family val="2"/>
      </rPr>
      <t>µ</t>
    </r>
    <r>
      <rPr>
        <sz val="10"/>
        <rFont val="Arial"/>
        <family val="2"/>
      </rPr>
      <t>s]</t>
    </r>
  </si>
  <si>
    <t>Wake Up &amp; Pre-processing</t>
  </si>
  <si>
    <t xml:space="preserve">Preparation for Recieve </t>
  </si>
  <si>
    <t>DCDC</t>
  </si>
  <si>
    <t>Type</t>
  </si>
  <si>
    <t>TX Power</t>
  </si>
  <si>
    <t>Voltage</t>
  </si>
  <si>
    <t>File Sample</t>
  </si>
  <si>
    <t>Filename</t>
  </si>
  <si>
    <t>Advertisement Interval (ms)</t>
  </si>
  <si>
    <t>Connection Interval</t>
  </si>
  <si>
    <t>Advertisement Data Length (bytes)</t>
  </si>
  <si>
    <t>Connection Data Length</t>
  </si>
  <si>
    <t>Status</t>
  </si>
  <si>
    <t>Connectable/Scannable (Peripheral)</t>
  </si>
  <si>
    <t>Measured</t>
  </si>
  <si>
    <t>31 = 30</t>
  </si>
  <si>
    <t>20 = 19</t>
  </si>
  <si>
    <t>3=2</t>
  </si>
  <si>
    <t>Time(us)</t>
  </si>
  <si>
    <t>Current (mA)</t>
  </si>
  <si>
    <t>Time(us) * Current (mA)</t>
  </si>
  <si>
    <t>Total Time (us)</t>
  </si>
  <si>
    <t>Average Current (mA)</t>
  </si>
  <si>
    <t>Voltage Regulator Sheet Source</t>
  </si>
  <si>
    <t>D</t>
  </si>
  <si>
    <t>Standby</t>
  </si>
  <si>
    <t xml:space="preserve">max </t>
  </si>
  <si>
    <t>avg</t>
  </si>
  <si>
    <t>*-1.006nA</t>
  </si>
  <si>
    <t>*-1.056uA</t>
  </si>
  <si>
    <t>*-1.246nA</t>
  </si>
  <si>
    <t>*-1.025nA</t>
  </si>
  <si>
    <t>*-1.861uA</t>
  </si>
  <si>
    <t>*-1.518uA</t>
  </si>
  <si>
    <t>*-1.913uA</t>
  </si>
  <si>
    <t>*-1.671uA</t>
  </si>
  <si>
    <t>Total time of advertising event [us]</t>
  </si>
  <si>
    <t>Total time * current [us*mA]</t>
  </si>
  <si>
    <t>Average Current draw during advertising event [uA]</t>
  </si>
  <si>
    <t>100ms Advertisement Interval, 3.3V</t>
  </si>
  <si>
    <t>TX BASELINE</t>
  </si>
  <si>
    <t>Common 3.0V</t>
  </si>
  <si>
    <t>Common 3.3V</t>
  </si>
  <si>
    <t>Notes</t>
  </si>
  <si>
    <r>
      <t xml:space="preserve">The Power Calculator is made to </t>
    </r>
    <r>
      <rPr>
        <u/>
        <sz val="10"/>
        <rFont val="Arial"/>
        <family val="2"/>
      </rPr>
      <t>estimate</t>
    </r>
    <r>
      <rPr>
        <sz val="10"/>
        <rFont val="Arial"/>
        <family val="2"/>
      </rPr>
      <t xml:space="preserve"> the power calculation of your application. A lot of other factors linked to the environment can modify the power consumption.</t>
    </r>
  </si>
  <si>
    <t>As a consequence, it is normal to observe some results up to 10% upwards or downwards those presented here.</t>
  </si>
  <si>
    <t>The current for an advertising event will have some variation. One reason is that the recharge pulse that is the first that happen in the event will vary in size.</t>
  </si>
  <si>
    <t xml:space="preserve">The Txpower consumption has some variation between the 3 channels used. This is not taken into consideration in the calculation.  </t>
  </si>
  <si>
    <t>For longer connection intervals the number of recharge pulses will increase which increase the standby current (a few 100 nA).</t>
  </si>
  <si>
    <t>Current Version Limitations</t>
  </si>
  <si>
    <t>STANDBY CURRENT</t>
  </si>
  <si>
    <t>Avg. current draw when advertising:</t>
  </si>
  <si>
    <t>Expected battery life:</t>
  </si>
  <si>
    <t>mA</t>
  </si>
  <si>
    <t>Avg Current [mA]</t>
  </si>
  <si>
    <t>Energy [pAh]</t>
  </si>
  <si>
    <t>TX to RX transition / IFS</t>
  </si>
  <si>
    <t>RX to TX transition / ICS</t>
  </si>
  <si>
    <t>28.115 ms</t>
  </si>
  <si>
    <t>81.207 uA</t>
  </si>
  <si>
    <t>28.081 ms</t>
  </si>
  <si>
    <t>2.575 µA</t>
  </si>
  <si>
    <t>100ms 3.0V 5dBm 31bytes</t>
  </si>
  <si>
    <t>100ms 3.0V 5dBm 9bytes</t>
  </si>
  <si>
    <t>100ms 3.0V 5dBm 3bytes</t>
  </si>
  <si>
    <t>100ms 3.0V 10dBm 31bytes</t>
  </si>
  <si>
    <t>*-7.125uA</t>
  </si>
  <si>
    <t>100ms 3.3V 5dBm 31bytes</t>
  </si>
  <si>
    <t>100ms 3.3V 5dBm 9bytes</t>
  </si>
  <si>
    <t>100ms 3.3V 5dBm 3bytes</t>
  </si>
  <si>
    <t>20ms 3.3V 0dBm 31bytes</t>
  </si>
  <si>
    <t>20ms 3.3V 10dBm 31bytes</t>
  </si>
  <si>
    <t>CC2745R10</t>
  </si>
  <si>
    <t>CC2745R10 Advertisement</t>
  </si>
  <si>
    <t>Only supports CC2745R10</t>
  </si>
  <si>
    <t>Supported Voltage inputs: 3.0V, 3.3V</t>
  </si>
  <si>
    <t>Average Current for the time duration</t>
  </si>
  <si>
    <t>Energy</t>
  </si>
  <si>
    <t>Cumulative Enegry</t>
  </si>
  <si>
    <t>CC2745R10 Current [mA]</t>
  </si>
  <si>
    <t>CC2745R10 Energy [pAh]</t>
  </si>
  <si>
    <t>Cumulative Time [us]</t>
  </si>
  <si>
    <t>LP-EM-CC2745R10-Q1</t>
  </si>
  <si>
    <t>3V 5dBm</t>
  </si>
  <si>
    <t>3V 0dBm</t>
  </si>
  <si>
    <t>3V 10dBm</t>
  </si>
  <si>
    <t>Connected</t>
  </si>
  <si>
    <t>3.3V 5dBm</t>
  </si>
  <si>
    <t>3.3V 0dBm</t>
  </si>
  <si>
    <t>3.3V 10dBm</t>
  </si>
  <si>
    <t>20ms 3.3V 2dBm 31bytes</t>
  </si>
  <si>
    <t>20ms 3.0V 2dBm 31bytes</t>
  </si>
  <si>
    <t>20ms 3.3V 4dBm 31bytes</t>
  </si>
  <si>
    <t>20ms 3.0V 4dBm 31bytes</t>
  </si>
  <si>
    <t>20ms 3.3V 8dBm 31bytes</t>
  </si>
  <si>
    <t>20ms 3.0V 8dBm 31bytes</t>
  </si>
  <si>
    <t>Power Level</t>
  </si>
  <si>
    <t>3.3 current matrix</t>
  </si>
  <si>
    <t>3.0 current matrix</t>
  </si>
  <si>
    <t>3.3V DCDC 20ms 2 bytes</t>
  </si>
  <si>
    <t>3.0V DCDC 20ms</t>
  </si>
  <si>
    <t>3.0 Current Matrix</t>
  </si>
  <si>
    <t>3.3 Current Matrix</t>
  </si>
  <si>
    <t>3.3V 2dBm</t>
  </si>
  <si>
    <t>3.3V 4dBm</t>
  </si>
  <si>
    <t>3.3V 8dBm</t>
  </si>
  <si>
    <t>Planned Specifications for next releases</t>
  </si>
  <si>
    <t>20ms 3.3V 1dBm 31bytes</t>
  </si>
  <si>
    <t>20ms 3.3V 3dBm 31bytes</t>
  </si>
  <si>
    <t>20ms 3.3V 6dBm 31bytes</t>
  </si>
  <si>
    <t>20ms 3.3V 7dBm 31bytes</t>
  </si>
  <si>
    <t>20ms 3.3V 9dBm 31bytes</t>
  </si>
  <si>
    <t>20ms 3.0V 3dBm 31bytes</t>
  </si>
  <si>
    <t>20ms 3.0V 1dBm 31bytes</t>
  </si>
  <si>
    <t>20ms 3.0V 6dBm 31bytes</t>
  </si>
  <si>
    <t>20ms 3.0V 7dBm 31bytes</t>
  </si>
  <si>
    <t>20ms 3.0V 9dBm 31bytes</t>
  </si>
  <si>
    <t>3.0V 1dBm</t>
  </si>
  <si>
    <t>3.0V 3dBm</t>
  </si>
  <si>
    <t>3.0V 6dBm</t>
  </si>
  <si>
    <t>3.3V 1dBm</t>
  </si>
  <si>
    <t>3.3V 3dBm</t>
  </si>
  <si>
    <t>3.3V 6dBm</t>
  </si>
  <si>
    <t>3.0V 7dBm</t>
  </si>
  <si>
    <t>3.0V 9dBm</t>
  </si>
  <si>
    <t>3.3V 7dBm</t>
  </si>
  <si>
    <t>3.3V 9dBm</t>
  </si>
  <si>
    <t>Supported TX power levels: [0, 1, 2, 3, 4, 5, 6, 7, 8, 9, 10] dBm for advertisement</t>
  </si>
  <si>
    <t>20ms 3.0V 0dBm 31bytes</t>
  </si>
  <si>
    <t>3.3V</t>
  </si>
  <si>
    <t>3.0V 2dBm</t>
  </si>
  <si>
    <t>3.0V 4dBm</t>
  </si>
  <si>
    <t>3.0V 8dBm</t>
  </si>
  <si>
    <t>Supported TX power levels: [0, 1, 2, 3, 4, 5, 6, 7, 8, 9, 10] dBm for connected as peripheral</t>
  </si>
  <si>
    <t>Scanning</t>
  </si>
  <si>
    <t>3.3V 5dBm 50ms</t>
  </si>
  <si>
    <t>Scan window (ms)</t>
  </si>
  <si>
    <t>Scan interval (ms)</t>
  </si>
  <si>
    <t>3.3V 5dBm 20ms</t>
  </si>
  <si>
    <t>3.3V 5dBm 90ms</t>
  </si>
  <si>
    <t>max cur (mA)</t>
  </si>
  <si>
    <t>3.3V 0dBm 50ms</t>
  </si>
  <si>
    <t>3.3V 1dBm 50ms</t>
  </si>
  <si>
    <t>3.3V 2dBm 50ms</t>
  </si>
  <si>
    <t>3.3V 3dBm 50ms</t>
  </si>
  <si>
    <t>3.3V 4dBm 50ms</t>
  </si>
  <si>
    <t>3.0V 0dBm 50ms</t>
  </si>
  <si>
    <t>3.0V 1dBm 50ms</t>
  </si>
  <si>
    <t>3.0V 5dBm 50ms</t>
  </si>
  <si>
    <t>3.0V 5dBm 20ms</t>
  </si>
  <si>
    <t>3.0V 5dBm 90ms</t>
  </si>
  <si>
    <t>Lookup table</t>
  </si>
  <si>
    <t>average current (mA)</t>
  </si>
  <si>
    <t>3.0V</t>
  </si>
  <si>
    <t>Time (us)</t>
  </si>
  <si>
    <t>Recieve (RX) Baseline</t>
  </si>
  <si>
    <t>Standby Baseline</t>
  </si>
  <si>
    <t>Scan Interval [ms]</t>
  </si>
  <si>
    <t>Scan window [ms]</t>
  </si>
  <si>
    <t>Connected as Peripheral</t>
  </si>
  <si>
    <t>Total time of scanning event [us]</t>
  </si>
  <si>
    <t>Average Current draw during scanning event [uA]</t>
  </si>
  <si>
    <t>Avg. current draw when scanninging:</t>
  </si>
  <si>
    <t xml:space="preserve">Scanning as Central </t>
  </si>
  <si>
    <t>Supported TX power levels: [0, 1, 2, 3, 4, 5, 6, 7, 8, 9, 10] dBm for scanning as central</t>
  </si>
  <si>
    <t>TX power levels for connected as central</t>
  </si>
  <si>
    <t>Kindly email c-ramos2@ti.com for requests on priority settings.</t>
  </si>
  <si>
    <t>100ms 3.0V 0dBm 6bytes - ok</t>
  </si>
  <si>
    <t>590ms 3.0V 1dBm 6bytes - ok</t>
  </si>
  <si>
    <t xml:space="preserve">VDDR recharge </t>
  </si>
  <si>
    <t>1000ms 3.0V 2dBm 6bytes - ok</t>
  </si>
  <si>
    <t>VDDR recharge</t>
  </si>
  <si>
    <t>Additional Current due to VDDR recharge</t>
  </si>
  <si>
    <t># of events</t>
  </si>
  <si>
    <t>Datasheet Standby current</t>
  </si>
  <si>
    <t>*including VDDR recharge pulses</t>
  </si>
  <si>
    <t>500ms 3.0V 3dBm 6bytes - ok</t>
  </si>
  <si>
    <t>1000ms 3.0V 4dBm 6bytes - ok</t>
  </si>
  <si>
    <t>500ms 3.0V 6dBm 6bytes - ok</t>
  </si>
  <si>
    <t>1000ms 3.0V 8dBm 6bytes - ok</t>
  </si>
  <si>
    <t>1000ms 3.0V 9dBm 6bytes - ok</t>
  </si>
  <si>
    <t>500ms 3.0V 7dBm 6bytes - ok</t>
  </si>
  <si>
    <t>500ms 3.0V 5dBm 6bytes - ok</t>
  </si>
  <si>
    <t>1000ms 3.0V 10dBm 6bytes - ok</t>
  </si>
  <si>
    <t>1000ms 3.3V 3dBm 6bytes - ok</t>
  </si>
  <si>
    <t>1000ms 3.3V 4dBm 6bytes - ok</t>
  </si>
  <si>
    <t>3V 0dBm - OK</t>
  </si>
  <si>
    <t>3.0V 1dBm - ok</t>
  </si>
  <si>
    <t>3.0V 2dBm - ok</t>
  </si>
  <si>
    <t>3.0V 3dBm - ok</t>
  </si>
  <si>
    <t>3.3V 3dBm - ok</t>
  </si>
  <si>
    <t>3.0V 4dBm - ok</t>
  </si>
  <si>
    <t>3.3V 4dBm -ok</t>
  </si>
  <si>
    <t>3V 5dBm - ok</t>
  </si>
  <si>
    <t>3.0V 6dBm - ok</t>
  </si>
  <si>
    <t>3.0V 7dBm - ok</t>
  </si>
  <si>
    <t>3.0V 8dBm - ok</t>
  </si>
  <si>
    <t>3.0V 9dBm - ok</t>
  </si>
  <si>
    <t>3V 10dBm - ok</t>
  </si>
  <si>
    <t>DCDC and GLDO</t>
  </si>
  <si>
    <t xml:space="preserve">*Not yet modifiable for this release. </t>
  </si>
  <si>
    <t>3.0V GLDO</t>
  </si>
  <si>
    <t>3.3V GLDO</t>
  </si>
  <si>
    <t xml:space="preserve">Multiplier </t>
  </si>
  <si>
    <t xml:space="preserve">Final standby current - </t>
  </si>
  <si>
    <t>VDDR Recharge - ADV</t>
  </si>
  <si>
    <t>VDDR Recharge - Connection</t>
  </si>
  <si>
    <t>Effective estimated standby current - adv</t>
  </si>
  <si>
    <t>Effective estimated standby current - conn</t>
  </si>
  <si>
    <t>December 16 2025</t>
  </si>
  <si>
    <t>Activity 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</si>
</sst>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d\-mmm\-yy;@"/>
    <numFmt numFmtId="165" formatCode="0.0"/>
    <numFmt numFmtId="166" formatCode="0.0000"/>
    <numFmt numFmtId="167" formatCode="0.00000"/>
    <numFmt numFmtId="168" formatCode="0.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10"/>
      <color theme="1" tint="0.499984740745262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u/>
      <sz val="10"/>
      <name val="Arial"/>
      <family val="2"/>
    </font>
    <font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20">
    <xf numFmtId="0" fontId="0" fillId="0" borderId="0" xfId="0"/>
    <xf numFmtId="0" fontId="3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5" borderId="1" xfId="0" applyFont="1" applyFill="1" applyBorder="1" applyAlignment="1">
      <alignment horizontal="right" vertical="center" wrapText="1"/>
    </xf>
    <xf numFmtId="0" fontId="6" fillId="5" borderId="1" xfId="1" applyFont="1" applyFill="1" applyBorder="1" applyAlignment="1">
      <alignment horizontal="right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/>
    <xf numFmtId="0" fontId="6" fillId="6" borderId="1" xfId="1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6" borderId="5" xfId="0" applyFill="1" applyBorder="1"/>
    <xf numFmtId="0" fontId="0" fillId="6" borderId="0" xfId="0" applyFill="1"/>
    <xf numFmtId="0" fontId="0" fillId="6" borderId="6" xfId="0" applyFill="1" applyBorder="1"/>
    <xf numFmtId="0" fontId="0" fillId="5" borderId="5" xfId="0" applyFill="1" applyBorder="1"/>
    <xf numFmtId="0" fontId="4" fillId="5" borderId="0" xfId="0" applyFont="1" applyFill="1"/>
    <xf numFmtId="0" fontId="4" fillId="5" borderId="6" xfId="0" applyFont="1" applyFill="1" applyBorder="1"/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4" fillId="0" borderId="8" xfId="0" applyFont="1" applyBorder="1" applyAlignment="1">
      <alignment vertical="center"/>
    </xf>
    <xf numFmtId="0" fontId="4" fillId="8" borderId="2" xfId="0" applyFont="1" applyFill="1" applyBorder="1"/>
    <xf numFmtId="164" fontId="4" fillId="8" borderId="7" xfId="0" applyNumberFormat="1" applyFont="1" applyFill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4" fillId="8" borderId="10" xfId="0" applyFont="1" applyFill="1" applyBorder="1"/>
    <xf numFmtId="165" fontId="4" fillId="8" borderId="10" xfId="0" quotePrefix="1" applyNumberFormat="1" applyFont="1" applyFill="1" applyBorder="1" applyAlignment="1">
      <alignment horizontal="left"/>
    </xf>
    <xf numFmtId="0" fontId="0" fillId="0" borderId="1" xfId="0" applyBorder="1"/>
    <xf numFmtId="0" fontId="3" fillId="0" borderId="0" xfId="0" applyFont="1" applyAlignment="1">
      <alignment wrapText="1"/>
    </xf>
    <xf numFmtId="0" fontId="4" fillId="8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2" xfId="0" applyBorder="1"/>
    <xf numFmtId="0" fontId="3" fillId="3" borderId="3" xfId="0" applyFont="1" applyFill="1" applyBorder="1"/>
    <xf numFmtId="0" fontId="0" fillId="0" borderId="5" xfId="0" applyBorder="1"/>
    <xf numFmtId="0" fontId="0" fillId="0" borderId="0" xfId="0" applyAlignment="1">
      <alignment wrapText="1"/>
    </xf>
    <xf numFmtId="0" fontId="4" fillId="0" borderId="0" xfId="0" applyFont="1"/>
    <xf numFmtId="0" fontId="0" fillId="0" borderId="5" xfId="0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5" fillId="0" borderId="1" xfId="0" applyFont="1" applyBorder="1"/>
    <xf numFmtId="2" fontId="9" fillId="9" borderId="5" xfId="0" applyNumberFormat="1" applyFont="1" applyFill="1" applyBorder="1" applyAlignment="1">
      <alignment horizontal="right"/>
    </xf>
    <xf numFmtId="2" fontId="9" fillId="9" borderId="13" xfId="0" applyNumberFormat="1" applyFont="1" applyFill="1" applyBorder="1" applyAlignment="1">
      <alignment horizontal="right"/>
    </xf>
    <xf numFmtId="2" fontId="9" fillId="9" borderId="14" xfId="0" applyNumberFormat="1" applyFont="1" applyFill="1" applyBorder="1" applyAlignment="1">
      <alignment horizontal="right"/>
    </xf>
    <xf numFmtId="0" fontId="4" fillId="7" borderId="14" xfId="0" applyFont="1" applyFill="1" applyBorder="1" applyAlignment="1">
      <alignment wrapText="1"/>
    </xf>
    <xf numFmtId="0" fontId="7" fillId="0" borderId="13" xfId="0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0" fontId="0" fillId="0" borderId="3" xfId="0" applyBorder="1" applyAlignment="1">
      <alignment horizontal="center"/>
    </xf>
    <xf numFmtId="0" fontId="7" fillId="0" borderId="14" xfId="0" applyFont="1" applyBorder="1" applyAlignment="1">
      <alignment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center"/>
    </xf>
    <xf numFmtId="165" fontId="0" fillId="0" borderId="6" xfId="0" applyNumberFormat="1" applyBorder="1"/>
    <xf numFmtId="0" fontId="7" fillId="0" borderId="15" xfId="0" applyFont="1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9" xfId="0" applyNumberFormat="1" applyBorder="1" applyAlignment="1">
      <alignment horizontal="right"/>
    </xf>
    <xf numFmtId="165" fontId="3" fillId="9" borderId="10" xfId="0" applyNumberFormat="1" applyFont="1" applyFill="1" applyBorder="1" applyAlignment="1">
      <alignment horizontal="right" vertical="center"/>
    </xf>
    <xf numFmtId="0" fontId="4" fillId="0" borderId="5" xfId="0" applyFont="1" applyBorder="1"/>
    <xf numFmtId="2" fontId="3" fillId="4" borderId="2" xfId="0" applyNumberFormat="1" applyFont="1" applyFill="1" applyBorder="1" applyAlignment="1">
      <alignment horizontal="right" vertical="center"/>
    </xf>
    <xf numFmtId="166" fontId="4" fillId="0" borderId="5" xfId="0" applyNumberFormat="1" applyFont="1" applyBorder="1"/>
    <xf numFmtId="2" fontId="3" fillId="4" borderId="10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wrapText="1"/>
    </xf>
    <xf numFmtId="0" fontId="0" fillId="0" borderId="14" xfId="0" applyBorder="1"/>
    <xf numFmtId="0" fontId="0" fillId="0" borderId="8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10" borderId="1" xfId="0" applyFill="1" applyBorder="1" applyAlignment="1">
      <alignment vertical="center" wrapText="1"/>
    </xf>
    <xf numFmtId="0" fontId="0" fillId="10" borderId="1" xfId="0" applyFill="1" applyBorder="1"/>
    <xf numFmtId="0" fontId="0" fillId="10" borderId="1" xfId="0" applyFill="1" applyBorder="1" applyAlignment="1">
      <alignment vertical="center"/>
    </xf>
    <xf numFmtId="0" fontId="0" fillId="9" borderId="1" xfId="0" applyFill="1" applyBorder="1"/>
    <xf numFmtId="0" fontId="0" fillId="8" borderId="1" xfId="0" applyFill="1" applyBorder="1"/>
    <xf numFmtId="0" fontId="0" fillId="9" borderId="1" xfId="0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13" borderId="1" xfId="0" applyFill="1" applyBorder="1" applyAlignment="1">
      <alignment wrapText="1"/>
    </xf>
    <xf numFmtId="0" fontId="0" fillId="14" borderId="0" xfId="0" applyFill="1"/>
    <xf numFmtId="0" fontId="0" fillId="8" borderId="0" xfId="0" applyFill="1"/>
    <xf numFmtId="2" fontId="0" fillId="8" borderId="1" xfId="0" applyNumberFormat="1" applyFill="1" applyBorder="1" applyAlignment="1">
      <alignment wrapText="1"/>
    </xf>
    <xf numFmtId="0" fontId="5" fillId="15" borderId="1" xfId="0" applyFont="1" applyFill="1" applyBorder="1" applyAlignment="1">
      <alignment wrapText="1"/>
    </xf>
    <xf numFmtId="0" fontId="0" fillId="15" borderId="1" xfId="0" applyFill="1" applyBorder="1" applyAlignment="1">
      <alignment wrapText="1"/>
    </xf>
    <xf numFmtId="0" fontId="0" fillId="15" borderId="0" xfId="0" applyFill="1"/>
    <xf numFmtId="2" fontId="9" fillId="9" borderId="5" xfId="0" quotePrefix="1" applyNumberFormat="1" applyFont="1" applyFill="1" applyBorder="1" applyAlignment="1">
      <alignment horizontal="right"/>
    </xf>
    <xf numFmtId="0" fontId="6" fillId="6" borderId="1" xfId="0" applyFont="1" applyFill="1" applyBorder="1" applyAlignment="1">
      <alignment horizontal="right"/>
    </xf>
    <xf numFmtId="0" fontId="2" fillId="0" borderId="0" xfId="0" applyFont="1"/>
    <xf numFmtId="0" fontId="5" fillId="16" borderId="1" xfId="0" applyFont="1" applyFill="1" applyBorder="1" applyAlignment="1">
      <alignment wrapText="1"/>
    </xf>
    <xf numFmtId="0" fontId="0" fillId="16" borderId="1" xfId="0" applyFill="1" applyBorder="1" applyAlignment="1">
      <alignment wrapText="1"/>
    </xf>
    <xf numFmtId="0" fontId="0" fillId="16" borderId="0" xfId="0" applyFill="1"/>
    <xf numFmtId="2" fontId="0" fillId="8" borderId="1" xfId="0" applyNumberFormat="1" applyFill="1" applyBorder="1"/>
    <xf numFmtId="0" fontId="0" fillId="0" borderId="1" xfId="0" applyBorder="1" applyAlignment="1">
      <alignment horizontal="center" vertical="center" wrapText="1"/>
    </xf>
    <xf numFmtId="0" fontId="5" fillId="17" borderId="1" xfId="0" applyFont="1" applyFill="1" applyBorder="1" applyAlignment="1">
      <alignment wrapText="1"/>
    </xf>
    <xf numFmtId="0" fontId="0" fillId="17" borderId="1" xfId="0" applyFill="1" applyBorder="1" applyAlignment="1">
      <alignment wrapText="1"/>
    </xf>
    <xf numFmtId="0" fontId="0" fillId="17" borderId="0" xfId="0" applyFill="1"/>
    <xf numFmtId="0" fontId="0" fillId="0" borderId="1" xfId="0" applyBorder="1" applyAlignment="1">
      <alignment horizontal="center" vertical="center"/>
    </xf>
    <xf numFmtId="2" fontId="4" fillId="9" borderId="1" xfId="0" applyNumberFormat="1" applyFont="1" applyFill="1" applyBorder="1" applyAlignment="1">
      <alignment horizontal="right" vertical="center"/>
    </xf>
    <xf numFmtId="2" fontId="4" fillId="9" borderId="1" xfId="0" applyNumberFormat="1" applyFont="1" applyFill="1" applyBorder="1" applyAlignment="1">
      <alignment horizontal="right"/>
    </xf>
    <xf numFmtId="0" fontId="0" fillId="15" borderId="1" xfId="0" applyFill="1" applyBorder="1"/>
    <xf numFmtId="2" fontId="0" fillId="0" borderId="1" xfId="0" applyNumberFormat="1" applyBorder="1"/>
    <xf numFmtId="0" fontId="0" fillId="16" borderId="1" xfId="0" applyFill="1" applyBorder="1"/>
    <xf numFmtId="2" fontId="4" fillId="9" borderId="5" xfId="0" applyNumberFormat="1" applyFont="1" applyFill="1" applyBorder="1" applyAlignment="1">
      <alignment horizontal="right"/>
    </xf>
    <xf numFmtId="2" fontId="4" fillId="9" borderId="13" xfId="0" applyNumberFormat="1" applyFont="1" applyFill="1" applyBorder="1" applyAlignment="1">
      <alignment horizontal="right"/>
    </xf>
    <xf numFmtId="2" fontId="4" fillId="9" borderId="14" xfId="0" applyNumberFormat="1" applyFont="1" applyFill="1" applyBorder="1" applyAlignment="1">
      <alignment horizontal="right"/>
    </xf>
    <xf numFmtId="2" fontId="4" fillId="0" borderId="2" xfId="0" applyNumberFormat="1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/>
    <xf numFmtId="0" fontId="13" fillId="0" borderId="5" xfId="0" applyFont="1" applyBorder="1" applyAlignment="1">
      <alignment horizontal="right"/>
    </xf>
    <xf numFmtId="0" fontId="13" fillId="0" borderId="0" xfId="0" applyFont="1" applyAlignment="1">
      <alignment horizontal="center"/>
    </xf>
    <xf numFmtId="165" fontId="13" fillId="0" borderId="6" xfId="0" applyNumberFormat="1" applyFont="1" applyBorder="1"/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165" fontId="13" fillId="0" borderId="9" xfId="0" applyNumberFormat="1" applyFont="1" applyBorder="1" applyAlignment="1">
      <alignment horizontal="right"/>
    </xf>
    <xf numFmtId="3" fontId="0" fillId="8" borderId="1" xfId="0" applyNumberFormat="1" applyFill="1" applyBorder="1" applyAlignment="1">
      <alignment wrapText="1"/>
    </xf>
    <xf numFmtId="3" fontId="0" fillId="17" borderId="1" xfId="0" applyNumberFormat="1" applyFill="1" applyBorder="1" applyAlignment="1">
      <alignment wrapText="1"/>
    </xf>
    <xf numFmtId="0" fontId="5" fillId="10" borderId="1" xfId="0" applyFont="1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/>
    <xf numFmtId="3" fontId="0" fillId="10" borderId="1" xfId="0" applyNumberFormat="1" applyFill="1" applyBorder="1" applyAlignment="1">
      <alignment wrapText="1"/>
    </xf>
    <xf numFmtId="3" fontId="0" fillId="0" borderId="1" xfId="0" applyNumberFormat="1" applyBorder="1"/>
    <xf numFmtId="0" fontId="0" fillId="8" borderId="0" xfId="0" applyFill="1" applyAlignment="1">
      <alignment wrapText="1"/>
    </xf>
    <xf numFmtId="3" fontId="0" fillId="8" borderId="0" xfId="0" applyNumberFormat="1" applyFill="1" applyAlignment="1">
      <alignment wrapText="1"/>
    </xf>
    <xf numFmtId="2" fontId="4" fillId="10" borderId="1" xfId="0" applyNumberFormat="1" applyFont="1" applyFill="1" applyBorder="1" applyAlignment="1">
      <alignment horizontal="right" vertical="center"/>
    </xf>
    <xf numFmtId="2" fontId="4" fillId="10" borderId="1" xfId="0" applyNumberFormat="1" applyFont="1" applyFill="1" applyBorder="1" applyAlignment="1">
      <alignment horizontal="right"/>
    </xf>
    <xf numFmtId="3" fontId="0" fillId="8" borderId="1" xfId="0" applyNumberFormat="1" applyFill="1" applyBorder="1"/>
    <xf numFmtId="0" fontId="5" fillId="18" borderId="1" xfId="0" applyFont="1" applyFill="1" applyBorder="1" applyAlignment="1">
      <alignment wrapText="1"/>
    </xf>
    <xf numFmtId="0" fontId="5" fillId="10" borderId="1" xfId="0" applyFont="1" applyFill="1" applyBorder="1"/>
    <xf numFmtId="0" fontId="5" fillId="18" borderId="1" xfId="0" applyFont="1" applyFill="1" applyBorder="1"/>
    <xf numFmtId="0" fontId="0" fillId="18" borderId="1" xfId="0" applyFill="1" applyBorder="1"/>
    <xf numFmtId="0" fontId="0" fillId="18" borderId="0" xfId="0" applyFill="1"/>
    <xf numFmtId="0" fontId="5" fillId="0" borderId="0" xfId="0" applyFont="1"/>
    <xf numFmtId="2" fontId="4" fillId="0" borderId="1" xfId="0" applyNumberFormat="1" applyFont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vertical="center"/>
    </xf>
    <xf numFmtId="168" fontId="4" fillId="0" borderId="1" xfId="0" applyNumberFormat="1" applyFont="1" applyBorder="1" applyAlignment="1">
      <alignment horizontal="right" vertical="center"/>
    </xf>
    <xf numFmtId="0" fontId="0" fillId="8" borderId="12" xfId="0" applyFill="1" applyBorder="1"/>
    <xf numFmtId="0" fontId="2" fillId="0" borderId="1" xfId="0" applyFont="1" applyBorder="1"/>
    <xf numFmtId="0" fontId="2" fillId="8" borderId="12" xfId="0" applyFont="1" applyFill="1" applyBorder="1"/>
    <xf numFmtId="0" fontId="5" fillId="0" borderId="0" xfId="0" applyFont="1" applyAlignment="1">
      <alignment vertical="center"/>
    </xf>
    <xf numFmtId="0" fontId="0" fillId="20" borderId="0" xfId="0" applyFill="1"/>
    <xf numFmtId="2" fontId="0" fillId="0" borderId="0" xfId="0" applyNumberFormat="1"/>
    <xf numFmtId="0" fontId="5" fillId="21" borderId="14" xfId="0" applyFont="1" applyFill="1" applyBorder="1"/>
    <xf numFmtId="0" fontId="5" fillId="21" borderId="15" xfId="0" applyFont="1" applyFill="1" applyBorder="1"/>
    <xf numFmtId="1" fontId="4" fillId="22" borderId="1" xfId="0" applyNumberFormat="1" applyFont="1" applyFill="1" applyBorder="1" applyAlignment="1">
      <alignment horizontal="right"/>
    </xf>
    <xf numFmtId="1" fontId="4" fillId="22" borderId="1" xfId="0" applyNumberFormat="1" applyFont="1" applyFill="1" applyBorder="1" applyAlignment="1">
      <alignment horizontal="right" vertical="center"/>
    </xf>
    <xf numFmtId="167" fontId="4" fillId="22" borderId="1" xfId="0" applyNumberFormat="1" applyFont="1" applyFill="1" applyBorder="1" applyAlignment="1">
      <alignment horizontal="right"/>
    </xf>
    <xf numFmtId="168" fontId="4" fillId="22" borderId="1" xfId="0" applyNumberFormat="1" applyFont="1" applyFill="1" applyBorder="1" applyAlignment="1">
      <alignment horizontal="right" vertical="center"/>
    </xf>
    <xf numFmtId="1" fontId="4" fillId="17" borderId="1" xfId="0" applyNumberFormat="1" applyFont="1" applyFill="1" applyBorder="1" applyAlignment="1">
      <alignment horizontal="right" vertical="center"/>
    </xf>
    <xf numFmtId="168" fontId="4" fillId="9" borderId="5" xfId="0" applyNumberFormat="1" applyFont="1" applyFill="1" applyBorder="1" applyAlignment="1">
      <alignment horizontal="right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23" borderId="1" xfId="1" applyFont="1" applyFill="1" applyBorder="1" applyAlignment="1">
      <alignment horizontal="right"/>
    </xf>
    <xf numFmtId="0" fontId="0" fillId="23" borderId="1" xfId="0" applyFill="1" applyBorder="1" applyAlignment="1">
      <alignment wrapText="1"/>
    </xf>
    <xf numFmtId="3" fontId="0" fillId="15" borderId="1" xfId="0" applyNumberFormat="1" applyFill="1" applyBorder="1" applyAlignment="1">
      <alignment wrapText="1"/>
    </xf>
    <xf numFmtId="2" fontId="0" fillId="15" borderId="1" xfId="0" applyNumberFormat="1" applyFill="1" applyBorder="1" applyAlignment="1">
      <alignment wrapText="1"/>
    </xf>
    <xf numFmtId="0" fontId="0" fillId="0" borderId="10" xfId="0" applyBorder="1"/>
    <xf numFmtId="0" fontId="8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11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/>
    </xf>
    <xf numFmtId="0" fontId="4" fillId="12" borderId="10" xfId="0" applyFont="1" applyFill="1" applyBorder="1" applyAlignment="1">
      <alignment horizontal="center"/>
    </xf>
    <xf numFmtId="0" fontId="4" fillId="12" borderId="11" xfId="0" applyFont="1" applyFill="1" applyBorder="1" applyAlignment="1">
      <alignment horizontal="center"/>
    </xf>
    <xf numFmtId="0" fontId="4" fillId="12" borderId="12" xfId="0" applyFont="1" applyFill="1" applyBorder="1" applyAlignment="1">
      <alignment horizontal="center"/>
    </xf>
    <xf numFmtId="2" fontId="4" fillId="12" borderId="10" xfId="0" applyNumberFormat="1" applyFont="1" applyFill="1" applyBorder="1" applyAlignment="1">
      <alignment horizontal="center"/>
    </xf>
    <xf numFmtId="0" fontId="4" fillId="12" borderId="10" xfId="0" applyFont="1" applyFill="1" applyBorder="1" applyAlignment="1">
      <alignment horizontal="center" wrapText="1"/>
    </xf>
    <xf numFmtId="0" fontId="4" fillId="12" borderId="11" xfId="0" applyFont="1" applyFill="1" applyBorder="1" applyAlignment="1">
      <alignment horizontal="center" wrapText="1"/>
    </xf>
    <xf numFmtId="0" fontId="4" fillId="12" borderId="12" xfId="0" applyFont="1" applyFill="1" applyBorder="1" applyAlignment="1">
      <alignment horizontal="center" wrapText="1"/>
    </xf>
    <xf numFmtId="0" fontId="5" fillId="11" borderId="1" xfId="0" applyFont="1" applyFill="1" applyBorder="1" applyAlignment="1">
      <alignment horizontal="center" vertical="center" wrapText="1"/>
    </xf>
    <xf numFmtId="0" fontId="0" fillId="12" borderId="10" xfId="0" applyFill="1" applyBorder="1" applyAlignment="1">
      <alignment horizontal="center"/>
    </xf>
    <xf numFmtId="0" fontId="0" fillId="12" borderId="11" xfId="0" applyFill="1" applyBorder="1" applyAlignment="1">
      <alignment horizontal="center"/>
    </xf>
    <xf numFmtId="0" fontId="0" fillId="12" borderId="12" xfId="0" applyFill="1" applyBorder="1" applyAlignment="1">
      <alignment horizontal="center"/>
    </xf>
    <xf numFmtId="0" fontId="5" fillId="11" borderId="13" xfId="0" applyFont="1" applyFill="1" applyBorder="1" applyAlignment="1">
      <alignment horizontal="center"/>
    </xf>
    <xf numFmtId="0" fontId="5" fillId="11" borderId="14" xfId="0" applyFont="1" applyFill="1" applyBorder="1" applyAlignment="1">
      <alignment horizontal="center"/>
    </xf>
    <xf numFmtId="0" fontId="5" fillId="11" borderId="15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12" borderId="10" xfId="0" applyFill="1" applyBorder="1" applyAlignment="1">
      <alignment horizontal="center" wrapText="1"/>
    </xf>
    <xf numFmtId="0" fontId="0" fillId="12" borderId="11" xfId="0" applyFill="1" applyBorder="1" applyAlignment="1">
      <alignment horizontal="center" wrapText="1"/>
    </xf>
    <xf numFmtId="0" fontId="0" fillId="12" borderId="12" xfId="0" applyFill="1" applyBorder="1" applyAlignment="1">
      <alignment horizontal="center" wrapText="1"/>
    </xf>
    <xf numFmtId="0" fontId="5" fillId="11" borderId="10" xfId="0" applyFont="1" applyFill="1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 wrapText="1"/>
    </xf>
    <xf numFmtId="0" fontId="5" fillId="11" borderId="11" xfId="0" applyFont="1" applyFill="1" applyBorder="1" applyAlignment="1">
      <alignment horizontal="center" vertical="center" wrapText="1"/>
    </xf>
    <xf numFmtId="0" fontId="5" fillId="11" borderId="13" xfId="0" applyFont="1" applyFill="1" applyBorder="1" applyAlignment="1">
      <alignment horizontal="center" wrapText="1"/>
    </xf>
    <xf numFmtId="0" fontId="5" fillId="11" borderId="14" xfId="0" applyFont="1" applyFill="1" applyBorder="1" applyAlignment="1">
      <alignment horizontal="center" wrapText="1"/>
    </xf>
    <xf numFmtId="0" fontId="5" fillId="11" borderId="15" xfId="0" applyFont="1" applyFill="1" applyBorder="1" applyAlignment="1">
      <alignment horizontal="center" wrapText="1"/>
    </xf>
    <xf numFmtId="0" fontId="0" fillId="16" borderId="1" xfId="0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 wrapText="1"/>
    </xf>
    <xf numFmtId="0" fontId="5" fillId="11" borderId="9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center" wrapText="1"/>
    </xf>
    <xf numFmtId="0" fontId="5" fillId="8" borderId="0" xfId="0" applyFont="1" applyFill="1" applyAlignment="1">
      <alignment horizontal="center" vertical="center" wrapText="1"/>
    </xf>
    <xf numFmtId="0" fontId="0" fillId="8" borderId="0" xfId="0" applyFill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5" fillId="19" borderId="1" xfId="0" applyFont="1" applyFill="1" applyBorder="1" applyAlignment="1">
      <alignment horizontal="center" vertical="center"/>
    </xf>
    <xf numFmtId="0" fontId="5" fillId="14" borderId="10" xfId="0" applyFont="1" applyFill="1" applyBorder="1" applyAlignment="1">
      <alignment horizontal="center"/>
    </xf>
    <xf numFmtId="0" fontId="11" fillId="14" borderId="10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11" borderId="1" xfId="0" applyFont="1" applyFill="1" applyBorder="1" applyAlignment="1">
      <alignment horizontal="center"/>
    </xf>
  </cellXfs>
  <cellStyles count="2">
    <cellStyle name="40% - Accent5" xfId="1" builtinId="4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areaChart>
        <c:grouping val="standard"/>
        <c:varyColors val="0"/>
        <c:ser>
          <c:idx val="2"/>
          <c:order val="2"/>
          <c:tx>
            <c:strRef>
              <c:f>'Graph values'!$I$3</c:f>
              <c:strCache>
                <c:ptCount val="1"/>
                <c:pt idx="0">
                  <c:v>CC2745R10 Current [mA]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cat>
            <c:numRef>
              <c:f>'Graph values'!$H$6:$H$32</c:f>
              <c:numCache>
                <c:formatCode>General</c:formatCode>
                <c:ptCount val="27"/>
                <c:pt idx="0">
                  <c:v>293</c:v>
                </c:pt>
                <c:pt idx="1">
                  <c:v>293</c:v>
                </c:pt>
                <c:pt idx="2">
                  <c:v>409</c:v>
                </c:pt>
                <c:pt idx="3">
                  <c:v>409</c:v>
                </c:pt>
                <c:pt idx="4">
                  <c:v>577</c:v>
                </c:pt>
                <c:pt idx="5">
                  <c:v>577</c:v>
                </c:pt>
                <c:pt idx="6">
                  <c:v>728</c:v>
                </c:pt>
                <c:pt idx="7">
                  <c:v>728</c:v>
                </c:pt>
                <c:pt idx="8">
                  <c:v>876</c:v>
                </c:pt>
                <c:pt idx="9">
                  <c:v>876</c:v>
                </c:pt>
                <c:pt idx="10">
                  <c:v>997</c:v>
                </c:pt>
                <c:pt idx="11">
                  <c:v>997</c:v>
                </c:pt>
                <c:pt idx="12">
                  <c:v>1165</c:v>
                </c:pt>
                <c:pt idx="13">
                  <c:v>1165</c:v>
                </c:pt>
                <c:pt idx="14">
                  <c:v>1315</c:v>
                </c:pt>
                <c:pt idx="15">
                  <c:v>1315</c:v>
                </c:pt>
                <c:pt idx="16">
                  <c:v>1461</c:v>
                </c:pt>
                <c:pt idx="17">
                  <c:v>1461</c:v>
                </c:pt>
                <c:pt idx="18">
                  <c:v>1581</c:v>
                </c:pt>
                <c:pt idx="19">
                  <c:v>1581</c:v>
                </c:pt>
                <c:pt idx="20">
                  <c:v>1749</c:v>
                </c:pt>
                <c:pt idx="21">
                  <c:v>1749</c:v>
                </c:pt>
                <c:pt idx="22">
                  <c:v>1898</c:v>
                </c:pt>
                <c:pt idx="23">
                  <c:v>1898</c:v>
                </c:pt>
                <c:pt idx="24">
                  <c:v>2048</c:v>
                </c:pt>
                <c:pt idx="25">
                  <c:v>2048</c:v>
                </c:pt>
                <c:pt idx="26">
                  <c:v>2280</c:v>
                </c:pt>
              </c:numCache>
            </c:numRef>
          </c:cat>
          <c:val>
            <c:numRef>
              <c:f>'Graph values'!$I$6:$I$32</c:f>
              <c:numCache>
                <c:formatCode>General</c:formatCode>
                <c:ptCount val="27"/>
                <c:pt idx="0">
                  <c:v>4.439834989761092</c:v>
                </c:pt>
                <c:pt idx="1">
                  <c:v>5.1100000000000003</c:v>
                </c:pt>
                <c:pt idx="2">
                  <c:v>5.1100000000000003</c:v>
                </c:pt>
                <c:pt idx="3">
                  <c:v>10.52</c:v>
                </c:pt>
                <c:pt idx="4">
                  <c:v>10.52</c:v>
                </c:pt>
                <c:pt idx="5">
                  <c:v>4.8</c:v>
                </c:pt>
                <c:pt idx="6">
                  <c:v>4.8</c:v>
                </c:pt>
                <c:pt idx="7">
                  <c:v>7.2389598468468472</c:v>
                </c:pt>
                <c:pt idx="8">
                  <c:v>7.2389598468468472</c:v>
                </c:pt>
                <c:pt idx="9">
                  <c:v>5.54</c:v>
                </c:pt>
                <c:pt idx="10">
                  <c:v>5.54</c:v>
                </c:pt>
                <c:pt idx="11">
                  <c:v>10.6</c:v>
                </c:pt>
                <c:pt idx="12">
                  <c:v>10.6</c:v>
                </c:pt>
                <c:pt idx="13">
                  <c:v>4.72</c:v>
                </c:pt>
                <c:pt idx="14">
                  <c:v>4.72</c:v>
                </c:pt>
                <c:pt idx="15">
                  <c:v>7.2118333652968039</c:v>
                </c:pt>
                <c:pt idx="16">
                  <c:v>7.2118333652968039</c:v>
                </c:pt>
                <c:pt idx="17">
                  <c:v>5.44</c:v>
                </c:pt>
                <c:pt idx="18">
                  <c:v>5.44</c:v>
                </c:pt>
                <c:pt idx="19">
                  <c:v>10.5</c:v>
                </c:pt>
                <c:pt idx="20">
                  <c:v>10.5</c:v>
                </c:pt>
                <c:pt idx="21">
                  <c:v>4.68</c:v>
                </c:pt>
                <c:pt idx="22">
                  <c:v>4.68</c:v>
                </c:pt>
                <c:pt idx="23">
                  <c:v>7.4900236103286373</c:v>
                </c:pt>
                <c:pt idx="24">
                  <c:v>7.4900236103286373</c:v>
                </c:pt>
                <c:pt idx="25">
                  <c:v>5.1313532041379313</c:v>
                </c:pt>
                <c:pt idx="26">
                  <c:v>5.1313532041379313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6D-48BB-84F4-63C3F568E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946911"/>
        <c:axId val="518906031"/>
      </c:areaChart>
      <c:lineChart>
        <c:grouping val="stacked"/>
        <c:varyColors val="0"/>
        <c:ser>
          <c:idx val="1"/>
          <c:order val="1"/>
          <c:tx>
            <c:strRef>
              <c:f>'Graph values'!$K$3</c:f>
              <c:strCache>
                <c:ptCount val="1"/>
                <c:pt idx="0">
                  <c:v>CC2745R10 Energy [pAh]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'[1]DataForDisplay - Peripheral'!$L$6:$L$42</c:f>
              <c:numCache>
                <c:formatCode>General</c:formatCode>
                <c:ptCount val="37"/>
                <c:pt idx="0">
                  <c:v>-200</c:v>
                </c:pt>
                <c:pt idx="1">
                  <c:v>0</c:v>
                </c:pt>
                <c:pt idx="2">
                  <c:v>0</c:v>
                </c:pt>
                <c:pt idx="3">
                  <c:v>620</c:v>
                </c:pt>
                <c:pt idx="4">
                  <c:v>620</c:v>
                </c:pt>
                <c:pt idx="5">
                  <c:v>690</c:v>
                </c:pt>
                <c:pt idx="6">
                  <c:v>690</c:v>
                </c:pt>
                <c:pt idx="7">
                  <c:v>1098</c:v>
                </c:pt>
                <c:pt idx="8">
                  <c:v>1098</c:v>
                </c:pt>
                <c:pt idx="9">
                  <c:v>1204</c:v>
                </c:pt>
                <c:pt idx="10">
                  <c:v>1204</c:v>
                </c:pt>
                <c:pt idx="11">
                  <c:v>1364</c:v>
                </c:pt>
                <c:pt idx="12">
                  <c:v>1364</c:v>
                </c:pt>
                <c:pt idx="13">
                  <c:v>1513.66</c:v>
                </c:pt>
                <c:pt idx="14">
                  <c:v>1513.66</c:v>
                </c:pt>
                <c:pt idx="15">
                  <c:v>1921.66</c:v>
                </c:pt>
                <c:pt idx="16">
                  <c:v>1921.66</c:v>
                </c:pt>
                <c:pt idx="17">
                  <c:v>2027.66</c:v>
                </c:pt>
                <c:pt idx="18">
                  <c:v>2027.66</c:v>
                </c:pt>
                <c:pt idx="19">
                  <c:v>2187.66</c:v>
                </c:pt>
                <c:pt idx="20">
                  <c:v>2187.66</c:v>
                </c:pt>
                <c:pt idx="21">
                  <c:v>2337.3199999999997</c:v>
                </c:pt>
                <c:pt idx="22">
                  <c:v>2337.3199999999997</c:v>
                </c:pt>
                <c:pt idx="23">
                  <c:v>2745.3199999999997</c:v>
                </c:pt>
                <c:pt idx="24">
                  <c:v>2745.3199999999997</c:v>
                </c:pt>
                <c:pt idx="25">
                  <c:v>2851.3199999999997</c:v>
                </c:pt>
                <c:pt idx="26">
                  <c:v>2851.3199999999997</c:v>
                </c:pt>
                <c:pt idx="27">
                  <c:v>3011.3199999999997</c:v>
                </c:pt>
                <c:pt idx="28">
                  <c:v>3011.3199999999997</c:v>
                </c:pt>
                <c:pt idx="29">
                  <c:v>3573.6533333333327</c:v>
                </c:pt>
                <c:pt idx="30">
                  <c:v>3573.6533333333327</c:v>
                </c:pt>
                <c:pt idx="31">
                  <c:v>3573.6533333333327</c:v>
                </c:pt>
                <c:pt idx="32">
                  <c:v>3573.6533333333327</c:v>
                </c:pt>
                <c:pt idx="33">
                  <c:v>3773.6533333333327</c:v>
                </c:pt>
                <c:pt idx="34">
                  <c:v>3773.6533333333327</c:v>
                </c:pt>
                <c:pt idx="35">
                  <c:v>3973.6533333333327</c:v>
                </c:pt>
                <c:pt idx="36">
                  <c:v>3973.6533333333327</c:v>
                </c:pt>
              </c:numCache>
            </c:numRef>
          </c:cat>
          <c:val>
            <c:numRef>
              <c:f>'Graph values'!$K$5:$K$33</c:f>
              <c:numCache>
                <c:formatCode>General</c:formatCode>
                <c:ptCount val="29"/>
                <c:pt idx="0">
                  <c:v>0</c:v>
                </c:pt>
                <c:pt idx="1">
                  <c:v>361.3532366666667</c:v>
                </c:pt>
                <c:pt idx="2">
                  <c:v>777.25045888888894</c:v>
                </c:pt>
                <c:pt idx="3">
                  <c:v>1357.8032366666669</c:v>
                </c:pt>
                <c:pt idx="4">
                  <c:v>2552.9921255555555</c:v>
                </c:pt>
                <c:pt idx="5">
                  <c:v>4239.1143477777778</c:v>
                </c:pt>
                <c:pt idx="6">
                  <c:v>5008.4476811111108</c:v>
                </c:pt>
                <c:pt idx="7">
                  <c:v>5979.1143477777778</c:v>
                </c:pt>
                <c:pt idx="8">
                  <c:v>7442.992894584585</c:v>
                </c:pt>
                <c:pt idx="9">
                  <c:v>9204.4731239839839</c:v>
                </c:pt>
                <c:pt idx="10">
                  <c:v>10552.539790650651</c:v>
                </c:pt>
                <c:pt idx="11">
                  <c:v>12086.812012872873</c:v>
                </c:pt>
                <c:pt idx="12">
                  <c:v>15022.423123983985</c:v>
                </c:pt>
                <c:pt idx="13">
                  <c:v>18452.700901761764</c:v>
                </c:pt>
                <c:pt idx="14">
                  <c:v>19980.145346206209</c:v>
                </c:pt>
                <c:pt idx="15">
                  <c:v>21704.256457317319</c:v>
                </c:pt>
                <c:pt idx="16">
                  <c:v>24338.578922696568</c:v>
                </c:pt>
                <c:pt idx="17">
                  <c:v>27265.38129677952</c:v>
                </c:pt>
                <c:pt idx="18">
                  <c:v>29473.114630112854</c:v>
                </c:pt>
                <c:pt idx="19">
                  <c:v>31862.181296779519</c:v>
                </c:pt>
                <c:pt idx="20">
                  <c:v>36473.431296779519</c:v>
                </c:pt>
                <c:pt idx="21">
                  <c:v>41574.681296779519</c:v>
                </c:pt>
                <c:pt idx="22">
                  <c:v>43848.381296779517</c:v>
                </c:pt>
                <c:pt idx="23">
                  <c:v>46315.781296779518</c:v>
                </c:pt>
                <c:pt idx="24">
                  <c:v>50264.688189113891</c:v>
                </c:pt>
                <c:pt idx="25">
                  <c:v>54525.679398545297</c:v>
                </c:pt>
                <c:pt idx="26">
                  <c:v>57444.849221343764</c:v>
                </c:pt>
                <c:pt idx="27">
                  <c:v>60694.706250631119</c:v>
                </c:pt>
                <c:pt idx="28">
                  <c:v>60694.706250631119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A1-4B35-9A8E-50AAA31D1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947311"/>
        <c:axId val="518909359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CC2340R5 Current [mA]</c:v>
                </c:tx>
                <c:cat>
                  <c:numRef>
                    <c:extLst>
                      <c:ext uri="{02D57815-91ED-43cb-92C2-25804820EDAC}">
                        <c15:formulaRef>
                          <c15:sqref>'[1]DataForDisplay - Peripheral'!$L$6:$L$42</c15:sqref>
                        </c15:formulaRef>
                      </c:ext>
                    </c:extLst>
                    <c:numCache>
                      <c:formatCode>General</c:formatCode>
                      <c:ptCount val="37"/>
                      <c:pt idx="0">
                        <c:v>-200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620</c:v>
                      </c:pt>
                      <c:pt idx="4">
                        <c:v>620</c:v>
                      </c:pt>
                      <c:pt idx="5">
                        <c:v>690</c:v>
                      </c:pt>
                      <c:pt idx="6">
                        <c:v>690</c:v>
                      </c:pt>
                      <c:pt idx="7">
                        <c:v>1098</c:v>
                      </c:pt>
                      <c:pt idx="8">
                        <c:v>1098</c:v>
                      </c:pt>
                      <c:pt idx="9">
                        <c:v>1204</c:v>
                      </c:pt>
                      <c:pt idx="10">
                        <c:v>1204</c:v>
                      </c:pt>
                      <c:pt idx="11">
                        <c:v>1364</c:v>
                      </c:pt>
                      <c:pt idx="12">
                        <c:v>1364</c:v>
                      </c:pt>
                      <c:pt idx="13">
                        <c:v>1513.66</c:v>
                      </c:pt>
                      <c:pt idx="14">
                        <c:v>1513.66</c:v>
                      </c:pt>
                      <c:pt idx="15">
                        <c:v>1921.66</c:v>
                      </c:pt>
                      <c:pt idx="16">
                        <c:v>1921.66</c:v>
                      </c:pt>
                      <c:pt idx="17">
                        <c:v>2027.66</c:v>
                      </c:pt>
                      <c:pt idx="18">
                        <c:v>2027.66</c:v>
                      </c:pt>
                      <c:pt idx="19">
                        <c:v>2187.66</c:v>
                      </c:pt>
                      <c:pt idx="20">
                        <c:v>2187.66</c:v>
                      </c:pt>
                      <c:pt idx="21">
                        <c:v>2337.3199999999997</c:v>
                      </c:pt>
                      <c:pt idx="22">
                        <c:v>2337.3199999999997</c:v>
                      </c:pt>
                      <c:pt idx="23">
                        <c:v>2745.3199999999997</c:v>
                      </c:pt>
                      <c:pt idx="24">
                        <c:v>2745.3199999999997</c:v>
                      </c:pt>
                      <c:pt idx="25">
                        <c:v>2851.3199999999997</c:v>
                      </c:pt>
                      <c:pt idx="26">
                        <c:v>2851.3199999999997</c:v>
                      </c:pt>
                      <c:pt idx="27">
                        <c:v>3011.3199999999997</c:v>
                      </c:pt>
                      <c:pt idx="28">
                        <c:v>3011.3199999999997</c:v>
                      </c:pt>
                      <c:pt idx="29">
                        <c:v>3573.6533333333327</c:v>
                      </c:pt>
                      <c:pt idx="30">
                        <c:v>3573.6533333333327</c:v>
                      </c:pt>
                      <c:pt idx="31">
                        <c:v>3573.6533333333327</c:v>
                      </c:pt>
                      <c:pt idx="32">
                        <c:v>3573.6533333333327</c:v>
                      </c:pt>
                      <c:pt idx="33">
                        <c:v>3773.6533333333327</c:v>
                      </c:pt>
                      <c:pt idx="34">
                        <c:v>3773.6533333333327</c:v>
                      </c:pt>
                      <c:pt idx="35">
                        <c:v>3973.6533333333327</c:v>
                      </c:pt>
                      <c:pt idx="36">
                        <c:v>3973.6533333333327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'[1]DataForDisplay - Peripheral'!$M$6:$M$42</c15:sqref>
                        </c15:formulaRef>
                      </c:ext>
                    </c:extLst>
                    <c:numCache>
                      <c:formatCode>General</c:formatCode>
                      <c:ptCount val="37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2.0989450000000001</c:v>
                      </c:pt>
                      <c:pt idx="3">
                        <c:v>2.0989450000000001</c:v>
                      </c:pt>
                      <c:pt idx="4">
                        <c:v>3.5134206666666699</c:v>
                      </c:pt>
                      <c:pt idx="5">
                        <c:v>3.5134206666666699</c:v>
                      </c:pt>
                      <c:pt idx="6">
                        <c:v>4.8312473333333328</c:v>
                      </c:pt>
                      <c:pt idx="7">
                        <c:v>4.8312473333333328</c:v>
                      </c:pt>
                      <c:pt idx="8">
                        <c:v>1.9900059999999999</c:v>
                      </c:pt>
                      <c:pt idx="9">
                        <c:v>1.9900059999999999</c:v>
                      </c:pt>
                      <c:pt idx="10">
                        <c:v>4.7005683333333304</c:v>
                      </c:pt>
                      <c:pt idx="11">
                        <c:v>4.7005683333333304</c:v>
                      </c:pt>
                      <c:pt idx="12">
                        <c:v>3.0173266666666669</c:v>
                      </c:pt>
                      <c:pt idx="13">
                        <c:v>3.0173266666666669</c:v>
                      </c:pt>
                      <c:pt idx="14">
                        <c:v>4.8168733333333336</c:v>
                      </c:pt>
                      <c:pt idx="15">
                        <c:v>4.8168733333333336</c:v>
                      </c:pt>
                      <c:pt idx="16">
                        <c:v>1.9828456666666667</c:v>
                      </c:pt>
                      <c:pt idx="17">
                        <c:v>1.9828456666666667</c:v>
                      </c:pt>
                      <c:pt idx="18">
                        <c:v>4.7767833333333334</c:v>
                      </c:pt>
                      <c:pt idx="19">
                        <c:v>4.7767833333333334</c:v>
                      </c:pt>
                      <c:pt idx="20">
                        <c:v>3.0236016666666665</c:v>
                      </c:pt>
                      <c:pt idx="21">
                        <c:v>3.0236016666666665</c:v>
                      </c:pt>
                      <c:pt idx="22">
                        <c:v>4.8516269999999997</c:v>
                      </c:pt>
                      <c:pt idx="23">
                        <c:v>4.8516269999999997</c:v>
                      </c:pt>
                      <c:pt idx="24">
                        <c:v>1.954887</c:v>
                      </c:pt>
                      <c:pt idx="25">
                        <c:v>1.954887</c:v>
                      </c:pt>
                      <c:pt idx="26">
                        <c:v>4.7730220000000001</c:v>
                      </c:pt>
                      <c:pt idx="27">
                        <c:v>4.7730220000000001</c:v>
                      </c:pt>
                      <c:pt idx="28">
                        <c:v>2.1511093333333338</c:v>
                      </c:pt>
                      <c:pt idx="29">
                        <c:v>2.1511093333333338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B7A1-4B35-9A8E-50AAA31D1083}"/>
                  </c:ext>
                </c:extLst>
              </c15:ser>
            </c15:filteredLineSeries>
          </c:ext>
        </c:extLst>
      </c:lineChart>
      <c:valAx>
        <c:axId val="51890603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3946911"/>
        <c:crosses val="autoZero"/>
        <c:crossBetween val="between"/>
      </c:valAx>
      <c:catAx>
        <c:axId val="593946911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8906031"/>
        <c:crosses val="autoZero"/>
        <c:auto val="1"/>
        <c:lblAlgn val="ctr"/>
        <c:lblOffset val="100"/>
        <c:noMultiLvlLbl val="0"/>
      </c:catAx>
      <c:valAx>
        <c:axId val="51890935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3947311"/>
        <c:crosses val="max"/>
        <c:crossBetween val="between"/>
      </c:valAx>
      <c:catAx>
        <c:axId val="5939473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8909359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2015225584953539"/>
          <c:y val="0.81966629910906097"/>
          <c:w val="0.27818918369800938"/>
          <c:h val="9.511065554675488E-2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2"/>
          <c:order val="2"/>
          <c:tx>
            <c:strRef>
              <c:f>'Graph values'!$V$3</c:f>
              <c:strCache>
                <c:ptCount val="1"/>
                <c:pt idx="0">
                  <c:v>CC2745R10 Current [mA]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'Graph values'!$H$6:$H$32</c:f>
              <c:numCache>
                <c:formatCode>General</c:formatCode>
                <c:ptCount val="27"/>
                <c:pt idx="0">
                  <c:v>293</c:v>
                </c:pt>
                <c:pt idx="1">
                  <c:v>293</c:v>
                </c:pt>
                <c:pt idx="2">
                  <c:v>409</c:v>
                </c:pt>
                <c:pt idx="3">
                  <c:v>409</c:v>
                </c:pt>
                <c:pt idx="4">
                  <c:v>577</c:v>
                </c:pt>
                <c:pt idx="5">
                  <c:v>577</c:v>
                </c:pt>
                <c:pt idx="6">
                  <c:v>728</c:v>
                </c:pt>
                <c:pt idx="7">
                  <c:v>728</c:v>
                </c:pt>
                <c:pt idx="8">
                  <c:v>876</c:v>
                </c:pt>
                <c:pt idx="9">
                  <c:v>876</c:v>
                </c:pt>
                <c:pt idx="10">
                  <c:v>997</c:v>
                </c:pt>
                <c:pt idx="11">
                  <c:v>997</c:v>
                </c:pt>
                <c:pt idx="12">
                  <c:v>1165</c:v>
                </c:pt>
                <c:pt idx="13">
                  <c:v>1165</c:v>
                </c:pt>
                <c:pt idx="14">
                  <c:v>1315</c:v>
                </c:pt>
                <c:pt idx="15">
                  <c:v>1315</c:v>
                </c:pt>
                <c:pt idx="16">
                  <c:v>1461</c:v>
                </c:pt>
                <c:pt idx="17">
                  <c:v>1461</c:v>
                </c:pt>
                <c:pt idx="18">
                  <c:v>1581</c:v>
                </c:pt>
                <c:pt idx="19">
                  <c:v>1581</c:v>
                </c:pt>
                <c:pt idx="20">
                  <c:v>1749</c:v>
                </c:pt>
                <c:pt idx="21">
                  <c:v>1749</c:v>
                </c:pt>
                <c:pt idx="22">
                  <c:v>1898</c:v>
                </c:pt>
                <c:pt idx="23">
                  <c:v>1898</c:v>
                </c:pt>
                <c:pt idx="24">
                  <c:v>2048</c:v>
                </c:pt>
                <c:pt idx="25">
                  <c:v>2048</c:v>
                </c:pt>
                <c:pt idx="26">
                  <c:v>2280</c:v>
                </c:pt>
              </c:numCache>
            </c:numRef>
          </c:cat>
          <c:val>
            <c:numRef>
              <c:f>'Graph values'!$V$5:$V$17</c:f>
              <c:numCache>
                <c:formatCode>General</c:formatCode>
                <c:ptCount val="13"/>
                <c:pt idx="0">
                  <c:v>4.1899999999999995</c:v>
                </c:pt>
                <c:pt idx="1">
                  <c:v>4.1899999999999995</c:v>
                </c:pt>
                <c:pt idx="2">
                  <c:v>4.42</c:v>
                </c:pt>
                <c:pt idx="3">
                  <c:v>4.42</c:v>
                </c:pt>
                <c:pt idx="4">
                  <c:v>7.8599999999999994</c:v>
                </c:pt>
                <c:pt idx="5">
                  <c:v>7.8599999999999994</c:v>
                </c:pt>
                <c:pt idx="6">
                  <c:v>5</c:v>
                </c:pt>
                <c:pt idx="7">
                  <c:v>5</c:v>
                </c:pt>
                <c:pt idx="8">
                  <c:v>11.09</c:v>
                </c:pt>
                <c:pt idx="9">
                  <c:v>11.09</c:v>
                </c:pt>
                <c:pt idx="10">
                  <c:v>5.8</c:v>
                </c:pt>
                <c:pt idx="11">
                  <c:v>5.8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B3-43E8-BC10-57A3DEAE1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946911"/>
        <c:axId val="518906031"/>
      </c:areaChart>
      <c:lineChart>
        <c:grouping val="stacked"/>
        <c:varyColors val="0"/>
        <c:ser>
          <c:idx val="1"/>
          <c:order val="1"/>
          <c:tx>
            <c:strRef>
              <c:f>'Graph values'!$X$3</c:f>
              <c:strCache>
                <c:ptCount val="1"/>
                <c:pt idx="0">
                  <c:v>CC2745R10 Energy [pAh]</c:v>
                </c:pt>
              </c:strCache>
            </c:strRef>
          </c:tx>
          <c:spPr>
            <a:ln w="19050" cap="rnd" cmpd="sng" algn="ctr">
              <a:solidFill>
                <a:srgbClr val="FFFF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'[1]DataForDisplay - Peripheral'!$L$6:$L$42</c:f>
              <c:numCache>
                <c:formatCode>General</c:formatCode>
                <c:ptCount val="37"/>
                <c:pt idx="0">
                  <c:v>-200</c:v>
                </c:pt>
                <c:pt idx="1">
                  <c:v>0</c:v>
                </c:pt>
                <c:pt idx="2">
                  <c:v>0</c:v>
                </c:pt>
                <c:pt idx="3">
                  <c:v>620</c:v>
                </c:pt>
                <c:pt idx="4">
                  <c:v>620</c:v>
                </c:pt>
                <c:pt idx="5">
                  <c:v>690</c:v>
                </c:pt>
                <c:pt idx="6">
                  <c:v>690</c:v>
                </c:pt>
                <c:pt idx="7">
                  <c:v>1098</c:v>
                </c:pt>
                <c:pt idx="8">
                  <c:v>1098</c:v>
                </c:pt>
                <c:pt idx="9">
                  <c:v>1204</c:v>
                </c:pt>
                <c:pt idx="10">
                  <c:v>1204</c:v>
                </c:pt>
                <c:pt idx="11">
                  <c:v>1364</c:v>
                </c:pt>
                <c:pt idx="12">
                  <c:v>1364</c:v>
                </c:pt>
                <c:pt idx="13">
                  <c:v>1513.66</c:v>
                </c:pt>
                <c:pt idx="14">
                  <c:v>1513.66</c:v>
                </c:pt>
                <c:pt idx="15">
                  <c:v>1921.66</c:v>
                </c:pt>
                <c:pt idx="16">
                  <c:v>1921.66</c:v>
                </c:pt>
                <c:pt idx="17">
                  <c:v>2027.66</c:v>
                </c:pt>
                <c:pt idx="18">
                  <c:v>2027.66</c:v>
                </c:pt>
                <c:pt idx="19">
                  <c:v>2187.66</c:v>
                </c:pt>
                <c:pt idx="20">
                  <c:v>2187.66</c:v>
                </c:pt>
                <c:pt idx="21">
                  <c:v>2337.3199999999997</c:v>
                </c:pt>
                <c:pt idx="22">
                  <c:v>2337.3199999999997</c:v>
                </c:pt>
                <c:pt idx="23">
                  <c:v>2745.3199999999997</c:v>
                </c:pt>
                <c:pt idx="24">
                  <c:v>2745.3199999999997</c:v>
                </c:pt>
                <c:pt idx="25">
                  <c:v>2851.3199999999997</c:v>
                </c:pt>
                <c:pt idx="26">
                  <c:v>2851.3199999999997</c:v>
                </c:pt>
                <c:pt idx="27">
                  <c:v>3011.3199999999997</c:v>
                </c:pt>
                <c:pt idx="28">
                  <c:v>3011.3199999999997</c:v>
                </c:pt>
                <c:pt idx="29">
                  <c:v>3573.6533333333327</c:v>
                </c:pt>
                <c:pt idx="30">
                  <c:v>3573.6533333333327</c:v>
                </c:pt>
                <c:pt idx="31">
                  <c:v>3573.6533333333327</c:v>
                </c:pt>
                <c:pt idx="32">
                  <c:v>3573.6533333333327</c:v>
                </c:pt>
                <c:pt idx="33">
                  <c:v>3773.6533333333327</c:v>
                </c:pt>
                <c:pt idx="34">
                  <c:v>3773.6533333333327</c:v>
                </c:pt>
                <c:pt idx="35">
                  <c:v>3973.6533333333327</c:v>
                </c:pt>
                <c:pt idx="36">
                  <c:v>3973.6533333333327</c:v>
                </c:pt>
              </c:numCache>
            </c:numRef>
          </c:cat>
          <c:val>
            <c:numRef>
              <c:f>'Graph values'!$X$5:$X$17</c:f>
              <c:numCache>
                <c:formatCode>General</c:formatCode>
                <c:ptCount val="13"/>
                <c:pt idx="0">
                  <c:v>0</c:v>
                </c:pt>
                <c:pt idx="1">
                  <c:v>327.05277777777775</c:v>
                </c:pt>
                <c:pt idx="2">
                  <c:v>672.05833333333339</c:v>
                </c:pt>
                <c:pt idx="3">
                  <c:v>1186.4972222222223</c:v>
                </c:pt>
                <c:pt idx="4">
                  <c:v>2101.3138888888889</c:v>
                </c:pt>
                <c:pt idx="5">
                  <c:v>3719.1638888888888</c:v>
                </c:pt>
                <c:pt idx="6">
                  <c:v>4748.3305555555553</c:v>
                </c:pt>
                <c:pt idx="7">
                  <c:v>5976.1083333333336</c:v>
                </c:pt>
                <c:pt idx="8">
                  <c:v>8699.3194444444453</c:v>
                </c:pt>
                <c:pt idx="9">
                  <c:v>11542.672222222223</c:v>
                </c:pt>
                <c:pt idx="10">
                  <c:v>13029.727777777778</c:v>
                </c:pt>
                <c:pt idx="11">
                  <c:v>15008.172222222223</c:v>
                </c:pt>
                <c:pt idx="12">
                  <c:v>15008.172222222223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B3-43E8-BC10-57A3DEAE1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947311"/>
        <c:axId val="518909359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CC2340R5 Current [mA]</c:v>
                </c:tx>
                <c:spPr>
                  <a:ln w="19050" cap="rnd" cmpd="sng" algn="ctr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pPr>
                    <a:solidFill>
                      <a:schemeClr val="accent1"/>
                    </a:solidFill>
                    <a:ln w="6350" cap="flat" cmpd="sng" algn="ctr">
                      <a:solidFill>
                        <a:schemeClr val="accent1"/>
                      </a:solidFill>
                      <a:prstDash val="solid"/>
                      <a:round/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'[1]DataForDisplay - Peripheral'!$L$6:$L$42</c15:sqref>
                        </c15:formulaRef>
                      </c:ext>
                    </c:extLst>
                    <c:numCache>
                      <c:formatCode>General</c:formatCode>
                      <c:ptCount val="37"/>
                      <c:pt idx="0">
                        <c:v>-200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620</c:v>
                      </c:pt>
                      <c:pt idx="4">
                        <c:v>620</c:v>
                      </c:pt>
                      <c:pt idx="5">
                        <c:v>690</c:v>
                      </c:pt>
                      <c:pt idx="6">
                        <c:v>690</c:v>
                      </c:pt>
                      <c:pt idx="7">
                        <c:v>1098</c:v>
                      </c:pt>
                      <c:pt idx="8">
                        <c:v>1098</c:v>
                      </c:pt>
                      <c:pt idx="9">
                        <c:v>1204</c:v>
                      </c:pt>
                      <c:pt idx="10">
                        <c:v>1204</c:v>
                      </c:pt>
                      <c:pt idx="11">
                        <c:v>1364</c:v>
                      </c:pt>
                      <c:pt idx="12">
                        <c:v>1364</c:v>
                      </c:pt>
                      <c:pt idx="13">
                        <c:v>1513.66</c:v>
                      </c:pt>
                      <c:pt idx="14">
                        <c:v>1513.66</c:v>
                      </c:pt>
                      <c:pt idx="15">
                        <c:v>1921.66</c:v>
                      </c:pt>
                      <c:pt idx="16">
                        <c:v>1921.66</c:v>
                      </c:pt>
                      <c:pt idx="17">
                        <c:v>2027.66</c:v>
                      </c:pt>
                      <c:pt idx="18">
                        <c:v>2027.66</c:v>
                      </c:pt>
                      <c:pt idx="19">
                        <c:v>2187.66</c:v>
                      </c:pt>
                      <c:pt idx="20">
                        <c:v>2187.66</c:v>
                      </c:pt>
                      <c:pt idx="21">
                        <c:v>2337.3199999999997</c:v>
                      </c:pt>
                      <c:pt idx="22">
                        <c:v>2337.3199999999997</c:v>
                      </c:pt>
                      <c:pt idx="23">
                        <c:v>2745.3199999999997</c:v>
                      </c:pt>
                      <c:pt idx="24">
                        <c:v>2745.3199999999997</c:v>
                      </c:pt>
                      <c:pt idx="25">
                        <c:v>2851.3199999999997</c:v>
                      </c:pt>
                      <c:pt idx="26">
                        <c:v>2851.3199999999997</c:v>
                      </c:pt>
                      <c:pt idx="27">
                        <c:v>3011.3199999999997</c:v>
                      </c:pt>
                      <c:pt idx="28">
                        <c:v>3011.3199999999997</c:v>
                      </c:pt>
                      <c:pt idx="29">
                        <c:v>3573.6533333333327</c:v>
                      </c:pt>
                      <c:pt idx="30">
                        <c:v>3573.6533333333327</c:v>
                      </c:pt>
                      <c:pt idx="31">
                        <c:v>3573.6533333333327</c:v>
                      </c:pt>
                      <c:pt idx="32">
                        <c:v>3573.6533333333327</c:v>
                      </c:pt>
                      <c:pt idx="33">
                        <c:v>3773.6533333333327</c:v>
                      </c:pt>
                      <c:pt idx="34">
                        <c:v>3773.6533333333327</c:v>
                      </c:pt>
                      <c:pt idx="35">
                        <c:v>3973.6533333333327</c:v>
                      </c:pt>
                      <c:pt idx="36">
                        <c:v>3973.6533333333327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'[1]DataForDisplay - Peripheral'!$M$6:$M$42</c15:sqref>
                        </c15:formulaRef>
                      </c:ext>
                    </c:extLst>
                    <c:numCache>
                      <c:formatCode>General</c:formatCode>
                      <c:ptCount val="37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2.0989450000000001</c:v>
                      </c:pt>
                      <c:pt idx="3">
                        <c:v>2.0989450000000001</c:v>
                      </c:pt>
                      <c:pt idx="4">
                        <c:v>3.5134206666666699</c:v>
                      </c:pt>
                      <c:pt idx="5">
                        <c:v>3.5134206666666699</c:v>
                      </c:pt>
                      <c:pt idx="6">
                        <c:v>4.8312473333333328</c:v>
                      </c:pt>
                      <c:pt idx="7">
                        <c:v>4.8312473333333328</c:v>
                      </c:pt>
                      <c:pt idx="8">
                        <c:v>1.9900059999999999</c:v>
                      </c:pt>
                      <c:pt idx="9">
                        <c:v>1.9900059999999999</c:v>
                      </c:pt>
                      <c:pt idx="10">
                        <c:v>4.7005683333333304</c:v>
                      </c:pt>
                      <c:pt idx="11">
                        <c:v>4.7005683333333304</c:v>
                      </c:pt>
                      <c:pt idx="12">
                        <c:v>3.0173266666666669</c:v>
                      </c:pt>
                      <c:pt idx="13">
                        <c:v>3.0173266666666669</c:v>
                      </c:pt>
                      <c:pt idx="14">
                        <c:v>4.8168733333333336</c:v>
                      </c:pt>
                      <c:pt idx="15">
                        <c:v>4.8168733333333336</c:v>
                      </c:pt>
                      <c:pt idx="16">
                        <c:v>1.9828456666666667</c:v>
                      </c:pt>
                      <c:pt idx="17">
                        <c:v>1.9828456666666667</c:v>
                      </c:pt>
                      <c:pt idx="18">
                        <c:v>4.7767833333333334</c:v>
                      </c:pt>
                      <c:pt idx="19">
                        <c:v>4.7767833333333334</c:v>
                      </c:pt>
                      <c:pt idx="20">
                        <c:v>3.0236016666666665</c:v>
                      </c:pt>
                      <c:pt idx="21">
                        <c:v>3.0236016666666665</c:v>
                      </c:pt>
                      <c:pt idx="22">
                        <c:v>4.8516269999999997</c:v>
                      </c:pt>
                      <c:pt idx="23">
                        <c:v>4.8516269999999997</c:v>
                      </c:pt>
                      <c:pt idx="24">
                        <c:v>1.954887</c:v>
                      </c:pt>
                      <c:pt idx="25">
                        <c:v>1.954887</c:v>
                      </c:pt>
                      <c:pt idx="26">
                        <c:v>4.7730220000000001</c:v>
                      </c:pt>
                      <c:pt idx="27">
                        <c:v>4.7730220000000001</c:v>
                      </c:pt>
                      <c:pt idx="28">
                        <c:v>2.1511093333333338</c:v>
                      </c:pt>
                      <c:pt idx="29">
                        <c:v>2.1511093333333338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75B3-43E8-BC10-57A3DEAE1580}"/>
                  </c:ext>
                </c:extLst>
              </c15:ser>
            </c15:filteredLineSeries>
          </c:ext>
        </c:extLst>
      </c:lineChart>
      <c:valAx>
        <c:axId val="5189060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946911"/>
        <c:crosses val="autoZero"/>
        <c:crossBetween val="between"/>
      </c:valAx>
      <c:catAx>
        <c:axId val="593946911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518906031"/>
        <c:crosses val="autoZero"/>
        <c:auto val="1"/>
        <c:lblAlgn val="ctr"/>
        <c:lblOffset val="100"/>
        <c:noMultiLvlLbl val="0"/>
      </c:catAx>
      <c:valAx>
        <c:axId val="5189093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947311"/>
        <c:crosses val="max"/>
        <c:crossBetween val="between"/>
      </c:valAx>
      <c:catAx>
        <c:axId val="5939473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8909359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5428717144954"/>
          <c:y val="0.83281554302753569"/>
          <c:w val="0.27818918369800938"/>
          <c:h val="9.51106555467548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'Graph values'!$I$37</c:f>
              <c:strCache>
                <c:ptCount val="1"/>
                <c:pt idx="0">
                  <c:v>CC2745R10 Current [mA]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extLst>
                <c:ext xmlns:c15="http://schemas.microsoft.com/office/drawing/2012/chart" uri="{02D57815-91ED-43cb-92C2-25804820EDAC}">
                  <c15:fullRef>
                    <c15:sqref>'Graph values'!$H$39:$H$47</c15:sqref>
                  </c15:fullRef>
                </c:ext>
              </c:extLst>
              <c:f>'Graph values'!$H$39:$H$45</c:f>
              <c:numCache>
                <c:formatCode>General</c:formatCode>
                <c:ptCount val="7"/>
                <c:pt idx="0">
                  <c:v>0</c:v>
                </c:pt>
                <c:pt idx="1">
                  <c:v>415</c:v>
                </c:pt>
                <c:pt idx="2">
                  <c:v>415</c:v>
                </c:pt>
                <c:pt idx="3">
                  <c:v>20331</c:v>
                </c:pt>
                <c:pt idx="4">
                  <c:v>20331</c:v>
                </c:pt>
                <c:pt idx="5">
                  <c:v>20555</c:v>
                </c:pt>
                <c:pt idx="6">
                  <c:v>20555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values'!$I$39:$I$47</c15:sqref>
                  </c15:fullRef>
                </c:ext>
              </c:extLst>
              <c:f>'Graph values'!$I$39:$I$45</c:f>
              <c:numCache>
                <c:formatCode>General</c:formatCode>
                <c:ptCount val="7"/>
                <c:pt idx="0">
                  <c:v>4.2719983999999993</c:v>
                </c:pt>
                <c:pt idx="1">
                  <c:v>4.2719983999999993</c:v>
                </c:pt>
                <c:pt idx="2">
                  <c:v>7.5901892000000002</c:v>
                </c:pt>
                <c:pt idx="3">
                  <c:v>7.5901892000000002</c:v>
                </c:pt>
                <c:pt idx="4">
                  <c:v>5.7173834000000001</c:v>
                </c:pt>
                <c:pt idx="5">
                  <c:v>5.7173834000000001</c:v>
                </c:pt>
                <c:pt idx="6">
                  <c:v>6.7540000000000005E-3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1F-40E5-9A59-AAAEE5997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0296064"/>
        <c:axId val="1460370096"/>
      </c:areaChart>
      <c:lineChart>
        <c:grouping val="standard"/>
        <c:varyColors val="0"/>
        <c:ser>
          <c:idx val="1"/>
          <c:order val="1"/>
          <c:tx>
            <c:strRef>
              <c:f>'Graph values'!$K$37</c:f>
              <c:strCache>
                <c:ptCount val="1"/>
                <c:pt idx="0">
                  <c:v>CC2745R10 Energy [pAh]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Lit>
              <c:ptCount val="6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values'!$K$40:$K$45</c15:sqref>
                  </c15:fullRef>
                </c:ext>
              </c:extLst>
              <c:f>'Graph values'!$K$40:$K$45</c:f>
              <c:numCache>
                <c:formatCode>General</c:formatCode>
                <c:ptCount val="6"/>
                <c:pt idx="0">
                  <c:v>492.46648222222217</c:v>
                </c:pt>
                <c:pt idx="1">
                  <c:v>1367.4466261111111</c:v>
                </c:pt>
                <c:pt idx="2">
                  <c:v>44233.040133111113</c:v>
                </c:pt>
                <c:pt idx="3">
                  <c:v>76521.962884611115</c:v>
                </c:pt>
                <c:pt idx="4">
                  <c:v>109166.63393655556</c:v>
                </c:pt>
                <c:pt idx="5">
                  <c:v>109205.19740044445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61F-40E5-9A59-AAAEE5997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385888"/>
        <c:axId val="839163552"/>
      </c:lineChart>
      <c:catAx>
        <c:axId val="146029606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us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1460370096"/>
        <c:crosses val="autoZero"/>
        <c:auto val="1"/>
        <c:lblAlgn val="ctr"/>
        <c:lblOffset val="100"/>
        <c:noMultiLvlLbl val="0"/>
      </c:catAx>
      <c:valAx>
        <c:axId val="1460370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0296064"/>
        <c:crosses val="autoZero"/>
        <c:crossBetween val="between"/>
      </c:valAx>
      <c:valAx>
        <c:axId val="8391635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pAh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6385888"/>
        <c:crosses val="max"/>
        <c:crossBetween val="between"/>
      </c:valAx>
      <c:catAx>
        <c:axId val="129638588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83916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462346142508502"/>
          <c:y val="0.8328438397255139"/>
          <c:w val="0.22552884312047494"/>
          <c:h val="8.806323867050866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47</xdr:row>
      <xdr:rowOff>57150</xdr:rowOff>
    </xdr:from>
    <xdr:to>
      <xdr:col>6</xdr:col>
      <xdr:colOff>333375</xdr:colOff>
      <xdr:row>72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7012F8-1D48-435E-B12E-E92E1F5C60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47</xdr:row>
      <xdr:rowOff>152400</xdr:rowOff>
    </xdr:from>
    <xdr:to>
      <xdr:col>15</xdr:col>
      <xdr:colOff>247650</xdr:colOff>
      <xdr:row>73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27DA1D-1A32-442D-851D-303036B159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214311</xdr:colOff>
      <xdr:row>47</xdr:row>
      <xdr:rowOff>152399</xdr:rowOff>
    </xdr:from>
    <xdr:to>
      <xdr:col>23</xdr:col>
      <xdr:colOff>600074</xdr:colOff>
      <xdr:row>73</xdr:row>
      <xdr:rowOff>66674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57863EC-B28E-4CF5-90A8-C9B8DBB240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0509898/Documents/CC2340R5%20SDK%207.20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BLE - Peripheral"/>
      <sheetName val="Data Collection Plan"/>
      <sheetName val="SDK 740 GLDO Data Apr 11"/>
      <sheetName val="DataMeasured1214152023"/>
      <sheetName val="Input arguments"/>
      <sheetName val="0V_None"/>
      <sheetName val="3V_LegacyAdvertisement"/>
      <sheetName val="1p8V_LegacyAdvertisement"/>
      <sheetName val="3p6V_LegacyAdvertisement"/>
      <sheetName val="1p8V_Connected"/>
      <sheetName val="3p6V_Connected"/>
      <sheetName val="3V_LongRangeS8Advertisement"/>
      <sheetName val="1p8V_LongRangeS8Advertisement"/>
      <sheetName val="3p6V_LongRangeS8Advertisement"/>
      <sheetName val="3V_LongRangeS2Advertisement"/>
      <sheetName val="1p8V_LongRangeS2Advertisement"/>
      <sheetName val="3p6V_LongRangeS2Advertisement"/>
      <sheetName val="3V_1M_ExtendedAdvertisement"/>
      <sheetName val="1p8V_1M_ExtendedAdvertisement"/>
      <sheetName val="3p6V_1M_ExtendedAdvertisement"/>
      <sheetName val="3V_2M_ExtendedAdvertisement"/>
      <sheetName val="1p8V_2M_ExtendedAdvertisement"/>
      <sheetName val="3p6V_2M_ExtendedAdvertisement"/>
      <sheetName val="3V_Connected"/>
      <sheetName val="3V_Scanning"/>
      <sheetName val="3p6V_Scanning"/>
      <sheetName val="1p8V_Scanning"/>
      <sheetName val="3V_ConnectedCentral"/>
      <sheetName val="1p8V_ConnectedCentral"/>
      <sheetName val="3p6V_ConnectedCentral"/>
      <sheetName val="3p6V_ScanResponse"/>
      <sheetName val="3V_ScanResponse"/>
      <sheetName val="1p8V_ScanResponse"/>
      <sheetName val="Notes"/>
      <sheetName val="DataSourceSelection - Periph"/>
      <sheetName val="DataForDisplay - Peripheral"/>
      <sheetName val="DataForDisplay - Central"/>
      <sheetName val="DataSourceSelection - Central"/>
      <sheetName val="Guide lines to update"/>
      <sheetName val="Sheet2"/>
    </sheetNames>
    <sheetDataSet>
      <sheetData sheetId="0"/>
      <sheetData sheetId="1"/>
      <sheetData sheetId="2"/>
      <sheetData sheetId="3"/>
      <sheetData sheetId="4"/>
      <sheetData sheetId="5">
        <row r="7">
          <cell r="B7" t="str">
            <v>Extended Advertisement 2M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6">
          <cell r="L6">
            <v>-200</v>
          </cell>
          <cell r="M6">
            <v>0</v>
          </cell>
        </row>
        <row r="7">
          <cell r="L7">
            <v>0</v>
          </cell>
          <cell r="M7">
            <v>0</v>
          </cell>
        </row>
        <row r="8">
          <cell r="L8">
            <v>0</v>
          </cell>
          <cell r="M8">
            <v>2.0989450000000001</v>
          </cell>
        </row>
        <row r="9">
          <cell r="L9">
            <v>620</v>
          </cell>
          <cell r="M9">
            <v>2.0989450000000001</v>
          </cell>
        </row>
        <row r="10">
          <cell r="L10">
            <v>620</v>
          </cell>
          <cell r="M10">
            <v>3.5134206666666699</v>
          </cell>
        </row>
        <row r="11">
          <cell r="L11">
            <v>690</v>
          </cell>
          <cell r="M11">
            <v>3.5134206666666699</v>
          </cell>
        </row>
        <row r="12">
          <cell r="L12">
            <v>690</v>
          </cell>
          <cell r="M12">
            <v>4.8312473333333328</v>
          </cell>
        </row>
        <row r="13">
          <cell r="L13">
            <v>1098</v>
          </cell>
          <cell r="M13">
            <v>4.8312473333333328</v>
          </cell>
        </row>
        <row r="14">
          <cell r="L14">
            <v>1098</v>
          </cell>
          <cell r="M14">
            <v>1.9900059999999999</v>
          </cell>
        </row>
        <row r="15">
          <cell r="L15">
            <v>1204</v>
          </cell>
          <cell r="M15">
            <v>1.9900059999999999</v>
          </cell>
        </row>
        <row r="16">
          <cell r="L16">
            <v>1204</v>
          </cell>
          <cell r="M16">
            <v>4.7005683333333304</v>
          </cell>
        </row>
        <row r="17">
          <cell r="L17">
            <v>1364</v>
          </cell>
          <cell r="M17">
            <v>4.7005683333333304</v>
          </cell>
        </row>
        <row r="18">
          <cell r="L18">
            <v>1364</v>
          </cell>
          <cell r="M18">
            <v>3.0173266666666669</v>
          </cell>
        </row>
        <row r="19">
          <cell r="L19">
            <v>1513.66</v>
          </cell>
          <cell r="M19">
            <v>3.0173266666666669</v>
          </cell>
        </row>
        <row r="20">
          <cell r="L20">
            <v>1513.66</v>
          </cell>
          <cell r="M20">
            <v>4.8168733333333336</v>
          </cell>
        </row>
        <row r="21">
          <cell r="L21">
            <v>1921.66</v>
          </cell>
          <cell r="M21">
            <v>4.8168733333333336</v>
          </cell>
        </row>
        <row r="22">
          <cell r="L22">
            <v>1921.66</v>
          </cell>
          <cell r="M22">
            <v>1.9828456666666667</v>
          </cell>
        </row>
        <row r="23">
          <cell r="L23">
            <v>2027.66</v>
          </cell>
          <cell r="M23">
            <v>1.9828456666666667</v>
          </cell>
        </row>
        <row r="24">
          <cell r="L24">
            <v>2027.66</v>
          </cell>
          <cell r="M24">
            <v>4.7767833333333334</v>
          </cell>
        </row>
        <row r="25">
          <cell r="L25">
            <v>2187.66</v>
          </cell>
          <cell r="M25">
            <v>4.7767833333333334</v>
          </cell>
        </row>
        <row r="26">
          <cell r="L26">
            <v>2187.66</v>
          </cell>
          <cell r="M26">
            <v>3.0236016666666665</v>
          </cell>
        </row>
        <row r="27">
          <cell r="L27">
            <v>2337.3199999999997</v>
          </cell>
          <cell r="M27">
            <v>3.0236016666666665</v>
          </cell>
        </row>
        <row r="28">
          <cell r="L28">
            <v>2337.3199999999997</v>
          </cell>
          <cell r="M28">
            <v>4.8516269999999997</v>
          </cell>
        </row>
        <row r="29">
          <cell r="L29">
            <v>2745.3199999999997</v>
          </cell>
          <cell r="M29">
            <v>4.8516269999999997</v>
          </cell>
        </row>
        <row r="30">
          <cell r="L30">
            <v>2745.3199999999997</v>
          </cell>
          <cell r="M30">
            <v>1.954887</v>
          </cell>
        </row>
        <row r="31">
          <cell r="L31">
            <v>2851.3199999999997</v>
          </cell>
          <cell r="M31">
            <v>1.954887</v>
          </cell>
        </row>
        <row r="32">
          <cell r="L32">
            <v>2851.3199999999997</v>
          </cell>
          <cell r="M32">
            <v>4.7730220000000001</v>
          </cell>
        </row>
        <row r="33">
          <cell r="L33">
            <v>3011.3199999999997</v>
          </cell>
          <cell r="M33">
            <v>4.7730220000000001</v>
          </cell>
        </row>
        <row r="34">
          <cell r="L34">
            <v>3011.3199999999997</v>
          </cell>
          <cell r="M34">
            <v>2.1511093333333338</v>
          </cell>
        </row>
        <row r="35">
          <cell r="L35">
            <v>3573.6533333333327</v>
          </cell>
          <cell r="M35">
            <v>2.1511093333333338</v>
          </cell>
        </row>
        <row r="36">
          <cell r="L36">
            <v>3573.6533333333327</v>
          </cell>
          <cell r="M36">
            <v>0</v>
          </cell>
        </row>
        <row r="37">
          <cell r="L37">
            <v>3573.6533333333327</v>
          </cell>
          <cell r="M37">
            <v>0</v>
          </cell>
        </row>
        <row r="38">
          <cell r="L38">
            <v>3573.6533333333327</v>
          </cell>
          <cell r="M38">
            <v>0</v>
          </cell>
        </row>
        <row r="39">
          <cell r="L39">
            <v>3773.6533333333327</v>
          </cell>
          <cell r="M39">
            <v>0</v>
          </cell>
        </row>
        <row r="40">
          <cell r="L40">
            <v>3773.6533333333327</v>
          </cell>
          <cell r="M40">
            <v>0</v>
          </cell>
        </row>
        <row r="41">
          <cell r="L41">
            <v>3973.6533333333327</v>
          </cell>
          <cell r="M41">
            <v>0</v>
          </cell>
        </row>
        <row r="42">
          <cell r="L42">
            <v>3973.6533333333327</v>
          </cell>
          <cell r="M42">
            <v>0</v>
          </cell>
        </row>
      </sheetData>
      <sheetData sheetId="37"/>
      <sheetData sheetId="38"/>
      <sheetData sheetId="39"/>
      <sheetData sheetId="40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286F7-2F78-49DC-9F2D-929C7F0FFEF9}">
  <dimension ref="B3:C33"/>
  <sheetViews>
    <sheetView showGridLines="0" workbookViewId="0">
      <selection activeCell="E17" sqref="E17"/>
    </sheetView>
  </sheetViews>
  <sheetFormatPr defaultRowHeight="15" x14ac:dyDescent="0.25"/>
  <sheetData>
    <row r="3" spans="2:3" ht="15.75" x14ac:dyDescent="0.25">
      <c r="B3" s="1" t="s">
        <v>78</v>
      </c>
    </row>
    <row r="4" spans="2:3" x14ac:dyDescent="0.25">
      <c r="C4" s="41"/>
    </row>
    <row r="5" spans="2:3" x14ac:dyDescent="0.25">
      <c r="C5" s="41" t="s">
        <v>79</v>
      </c>
    </row>
    <row r="6" spans="2:3" x14ac:dyDescent="0.25">
      <c r="C6" s="41" t="s">
        <v>80</v>
      </c>
    </row>
    <row r="8" spans="2:3" x14ac:dyDescent="0.25">
      <c r="C8" s="41" t="s">
        <v>81</v>
      </c>
    </row>
    <row r="10" spans="2:3" x14ac:dyDescent="0.25">
      <c r="C10" s="41" t="s">
        <v>82</v>
      </c>
    </row>
    <row r="12" spans="2:3" x14ac:dyDescent="0.25">
      <c r="C12" s="41" t="s">
        <v>83</v>
      </c>
    </row>
    <row r="16" spans="2:3" x14ac:dyDescent="0.25">
      <c r="B16" s="89" t="s">
        <v>84</v>
      </c>
    </row>
    <row r="18" spans="2:3" x14ac:dyDescent="0.25">
      <c r="C18" t="s">
        <v>109</v>
      </c>
    </row>
    <row r="19" spans="2:3" x14ac:dyDescent="0.25">
      <c r="C19" t="s">
        <v>162</v>
      </c>
    </row>
    <row r="20" spans="2:3" x14ac:dyDescent="0.25">
      <c r="C20" t="s">
        <v>168</v>
      </c>
    </row>
    <row r="21" spans="2:3" x14ac:dyDescent="0.25">
      <c r="C21" t="s">
        <v>199</v>
      </c>
    </row>
    <row r="22" spans="2:3" x14ac:dyDescent="0.25">
      <c r="C22" t="s">
        <v>110</v>
      </c>
    </row>
    <row r="23" spans="2:3" x14ac:dyDescent="0.25">
      <c r="C23" t="s">
        <v>234</v>
      </c>
    </row>
    <row r="27" spans="2:3" x14ac:dyDescent="0.25">
      <c r="B27" s="89" t="s">
        <v>141</v>
      </c>
    </row>
    <row r="29" spans="2:3" x14ac:dyDescent="0.25">
      <c r="C29" t="s">
        <v>200</v>
      </c>
    </row>
    <row r="33" spans="2:2" x14ac:dyDescent="0.25">
      <c r="B33" t="s">
        <v>201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5F619-7A01-45CC-9998-13E5F0A09996}">
  <dimension ref="A1:AD68"/>
  <sheetViews>
    <sheetView workbookViewId="0">
      <selection activeCell="B4" sqref="B4:B7"/>
    </sheetView>
  </sheetViews>
  <sheetFormatPr defaultRowHeight="15" x14ac:dyDescent="0.25"/>
  <cols>
    <col min="1" max="1" width="7.28515625" customWidth="1"/>
    <col min="2" max="2" width="25.5703125" bestFit="1" customWidth="1"/>
    <col min="3" max="3" width="8.85546875" bestFit="1" customWidth="1"/>
    <col min="4" max="4" width="11" customWidth="1"/>
    <col min="5" max="5" width="11.42578125" customWidth="1"/>
    <col min="6" max="6" width="2.85546875" customWidth="1"/>
    <col min="7" max="7" width="8.85546875" bestFit="1" customWidth="1"/>
    <col min="8" max="8" width="12.5703125" customWidth="1"/>
    <col min="9" max="9" width="10.7109375" customWidth="1"/>
    <col min="10" max="10" width="3" customWidth="1"/>
    <col min="11" max="11" width="9.5703125" bestFit="1" customWidth="1"/>
    <col min="12" max="12" width="12.28515625" customWidth="1"/>
    <col min="13" max="13" width="11.42578125" customWidth="1"/>
    <col min="14" max="14" width="2.85546875" customWidth="1"/>
    <col min="15" max="15" width="8.42578125" customWidth="1"/>
    <col min="16" max="16" width="14.85546875" customWidth="1"/>
    <col min="17" max="17" width="10.140625" customWidth="1"/>
    <col min="18" max="18" width="2.85546875" customWidth="1"/>
    <col min="21" max="21" width="10.28515625" customWidth="1"/>
    <col min="22" max="22" width="4" customWidth="1"/>
    <col min="25" max="25" width="25.5703125" bestFit="1" customWidth="1"/>
    <col min="27" max="27" width="10.42578125" customWidth="1"/>
    <col min="28" max="28" width="4.85546875" customWidth="1"/>
    <col min="30" max="30" width="11.42578125" customWidth="1"/>
  </cols>
  <sheetData>
    <row r="1" spans="1:30" x14ac:dyDescent="0.25">
      <c r="A1" s="167" t="s">
        <v>169</v>
      </c>
      <c r="B1" s="167"/>
      <c r="C1" s="167" t="s">
        <v>170</v>
      </c>
      <c r="D1" s="167"/>
      <c r="E1" s="167"/>
      <c r="F1" s="219"/>
      <c r="G1" s="167" t="s">
        <v>173</v>
      </c>
      <c r="H1" s="167"/>
      <c r="I1" s="167"/>
      <c r="J1" s="219"/>
      <c r="K1" s="167" t="s">
        <v>174</v>
      </c>
      <c r="L1" s="167"/>
      <c r="M1" s="167"/>
      <c r="N1" s="215"/>
      <c r="O1" s="167" t="str">
        <f>CONCATENATE("Supply Voltage ", 'CC23XX Power Computation Sheet'!B2)</f>
        <v>Supply Voltage 3.0V</v>
      </c>
      <c r="P1" s="167"/>
      <c r="Q1" s="167"/>
      <c r="R1" s="216"/>
    </row>
    <row r="2" spans="1:30" x14ac:dyDescent="0.25">
      <c r="A2" s="167"/>
      <c r="B2" s="167"/>
      <c r="C2" s="167"/>
      <c r="D2" s="167"/>
      <c r="E2" s="167"/>
      <c r="F2" s="219"/>
      <c r="G2" s="167"/>
      <c r="H2" s="167"/>
      <c r="I2" s="167"/>
      <c r="J2" s="219"/>
      <c r="K2" s="167"/>
      <c r="L2" s="167"/>
      <c r="M2" s="167"/>
      <c r="N2" s="215"/>
      <c r="O2" s="167"/>
      <c r="P2" s="167"/>
      <c r="Q2" s="167"/>
      <c r="R2" s="216"/>
    </row>
    <row r="3" spans="1:30" x14ac:dyDescent="0.25">
      <c r="A3" s="47"/>
      <c r="B3" s="47" t="s">
        <v>19</v>
      </c>
      <c r="C3" s="32" t="s">
        <v>53</v>
      </c>
      <c r="D3" s="32" t="s">
        <v>54</v>
      </c>
      <c r="E3" s="75" t="s">
        <v>55</v>
      </c>
      <c r="F3" s="219"/>
      <c r="G3" s="32" t="s">
        <v>53</v>
      </c>
      <c r="H3" s="32" t="s">
        <v>54</v>
      </c>
      <c r="I3" s="75" t="s">
        <v>55</v>
      </c>
      <c r="J3" s="219"/>
      <c r="K3" s="32" t="s">
        <v>53</v>
      </c>
      <c r="L3" s="32" t="s">
        <v>54</v>
      </c>
      <c r="M3" s="75" t="s">
        <v>55</v>
      </c>
      <c r="N3" s="215"/>
      <c r="O3" s="32" t="s">
        <v>53</v>
      </c>
      <c r="P3" s="32" t="s">
        <v>54</v>
      </c>
      <c r="Q3" s="75" t="s">
        <v>55</v>
      </c>
      <c r="R3" s="216"/>
      <c r="S3" s="143"/>
    </row>
    <row r="4" spans="1:30" x14ac:dyDescent="0.25">
      <c r="A4" s="47">
        <v>1</v>
      </c>
      <c r="B4" s="47" t="s">
        <v>35</v>
      </c>
      <c r="C4" s="134">
        <v>415</v>
      </c>
      <c r="D4" s="135">
        <v>4.0448199999999996</v>
      </c>
      <c r="E4" s="100">
        <f>C4*D4</f>
        <v>1678.6002999999998</v>
      </c>
      <c r="F4" s="219"/>
      <c r="G4" s="134">
        <v>415</v>
      </c>
      <c r="H4" s="135">
        <v>4.0953720000000002</v>
      </c>
      <c r="I4" s="100">
        <f>G4*H4</f>
        <v>1699.5793800000001</v>
      </c>
      <c r="J4" s="219"/>
      <c r="K4" s="134">
        <v>417</v>
      </c>
      <c r="L4" s="135">
        <v>3.984137</v>
      </c>
      <c r="M4" s="100">
        <f>K4*L4</f>
        <v>1661.385129</v>
      </c>
      <c r="N4" s="215"/>
      <c r="O4" s="146">
        <f>Z14</f>
        <v>415</v>
      </c>
      <c r="P4" s="148">
        <f>CHOOSE(IF(O1="Supply Voltage 3.0V",1,IF(O1="Supply Voltage 3.3V",2)), 'CC2745R10 Central scan DCDC'!AC6, Z6)</f>
        <v>4.2719983999999993</v>
      </c>
      <c r="Q4" s="100">
        <f>O4*P4</f>
        <v>1772.8793359999997</v>
      </c>
      <c r="R4" s="216"/>
      <c r="Y4" s="139" t="s">
        <v>186</v>
      </c>
    </row>
    <row r="5" spans="1:30" x14ac:dyDescent="0.25">
      <c r="A5" s="47">
        <v>2</v>
      </c>
      <c r="B5" s="47" t="s">
        <v>27</v>
      </c>
      <c r="C5" s="136">
        <v>49915</v>
      </c>
      <c r="D5" s="137">
        <v>6.8596729999999999</v>
      </c>
      <c r="E5" s="100">
        <f t="shared" ref="E5:E6" si="0">C5*D5</f>
        <v>342400.57779499999</v>
      </c>
      <c r="F5" s="219"/>
      <c r="G5" s="136">
        <v>19914</v>
      </c>
      <c r="H5" s="137">
        <v>6.8891210000000003</v>
      </c>
      <c r="I5" s="100">
        <f t="shared" ref="I5:I6" si="1">G5*H5</f>
        <v>137189.955594</v>
      </c>
      <c r="J5" s="219"/>
      <c r="K5" s="136">
        <v>89920</v>
      </c>
      <c r="L5" s="137">
        <v>6.8444289999999999</v>
      </c>
      <c r="M5" s="100">
        <f t="shared" ref="M5:M6" si="2">K5*L5</f>
        <v>615451.05567999999</v>
      </c>
      <c r="N5" s="215"/>
      <c r="O5" s="150">
        <f xml:space="preserve"> 'CC23XX Power Computation Sheet'!B12*1000-Z15</f>
        <v>19916</v>
      </c>
      <c r="P5" s="149">
        <f>CHOOSE(IF(O1="Supply Voltage 3.0V",1,IF(O1="Supply Voltage 3.3V",2)), 'CC2745R10 Central scan DCDC'!AC7, Z7)</f>
        <v>7.5901892000000002</v>
      </c>
      <c r="Q5" s="100">
        <f t="shared" ref="Q5:Q6" si="3">O5*P5</f>
        <v>151166.20810720001</v>
      </c>
      <c r="R5" s="216"/>
      <c r="S5" s="143"/>
      <c r="Y5" s="139" t="s">
        <v>164</v>
      </c>
      <c r="Z5" s="207" t="s">
        <v>187</v>
      </c>
      <c r="AA5" s="207"/>
      <c r="AB5" s="139" t="s">
        <v>188</v>
      </c>
      <c r="AC5" s="207" t="s">
        <v>187</v>
      </c>
      <c r="AD5" s="207"/>
    </row>
    <row r="6" spans="1:30" x14ac:dyDescent="0.25">
      <c r="A6" s="47">
        <v>3</v>
      </c>
      <c r="B6" s="47" t="s">
        <v>29</v>
      </c>
      <c r="C6" s="136">
        <v>221</v>
      </c>
      <c r="D6" s="137">
        <v>5.2232450000000004</v>
      </c>
      <c r="E6" s="100">
        <f t="shared" si="0"/>
        <v>1154.3371450000002</v>
      </c>
      <c r="F6" s="219"/>
      <c r="G6" s="136">
        <v>226</v>
      </c>
      <c r="H6" s="137">
        <v>4.8949749999999996</v>
      </c>
      <c r="I6" s="100">
        <f t="shared" si="1"/>
        <v>1106.2643499999999</v>
      </c>
      <c r="J6" s="219"/>
      <c r="K6" s="136">
        <v>220</v>
      </c>
      <c r="L6" s="137">
        <v>5.081639</v>
      </c>
      <c r="M6" s="100">
        <f t="shared" si="2"/>
        <v>1117.9605799999999</v>
      </c>
      <c r="N6" s="215"/>
      <c r="O6" s="147">
        <f>Z16</f>
        <v>224</v>
      </c>
      <c r="P6" s="149">
        <f>CHOOSE(IF(O1="Supply Voltage 3.0V",1,IF(O1="Supply Voltage 3.3V",2)), 'CC2745R10 Central scan DCDC'!AC8, Z8)</f>
        <v>5.7173834000000001</v>
      </c>
      <c r="Q6" s="100">
        <f t="shared" si="3"/>
        <v>1280.6938815999999</v>
      </c>
      <c r="R6" s="216"/>
      <c r="Y6" s="47" t="s">
        <v>35</v>
      </c>
      <c r="Z6" s="210">
        <f>AVERAGE(D4,H4,L4,D18,H18,L18,P18,T18)</f>
        <v>3.965368625</v>
      </c>
      <c r="AA6" s="211"/>
      <c r="AB6" s="144"/>
      <c r="AC6" s="210">
        <f>AVERAGE(D32,H32,L32,P32,T32)</f>
        <v>4.2719983999999993</v>
      </c>
      <c r="AD6" s="211"/>
    </row>
    <row r="7" spans="1:30" x14ac:dyDescent="0.25">
      <c r="A7" s="47">
        <v>4</v>
      </c>
      <c r="B7" s="47" t="s">
        <v>60</v>
      </c>
      <c r="C7" s="136">
        <v>49454</v>
      </c>
      <c r="D7" s="137">
        <v>1.1738999999999999E-2</v>
      </c>
      <c r="E7" s="100">
        <f>C7*D7</f>
        <v>580.54050599999994</v>
      </c>
      <c r="F7" s="219"/>
      <c r="G7" s="136">
        <v>79451</v>
      </c>
      <c r="H7" s="137">
        <v>2.5613E-2</v>
      </c>
      <c r="I7" s="100">
        <f>G7*H7</f>
        <v>2034.9784629999999</v>
      </c>
      <c r="J7" s="219"/>
      <c r="K7" s="136">
        <v>9452</v>
      </c>
      <c r="L7" s="137">
        <v>3.4285000000000003E-2</v>
      </c>
      <c r="M7" s="100">
        <f>K7*L7</f>
        <v>324.06182000000001</v>
      </c>
      <c r="N7" s="215"/>
      <c r="O7" s="150">
        <f>'CC23XX Power Computation Sheet'!B11*1000-'CC23XX Power Computation Sheet'!B12*1000-500-Z17</f>
        <v>79442</v>
      </c>
      <c r="P7" s="149">
        <f>CHOOSE(IF(O1="Supply Voltage 3.0V",1,IF(O1="Supply Voltage 3.3V",2)), 'CC2745R10 Central scan DCDC'!AC9, Z9)</f>
        <v>6.7540000000000005E-3</v>
      </c>
      <c r="Q7" s="100">
        <f>O7*P7</f>
        <v>536.55126800000005</v>
      </c>
      <c r="R7" s="216"/>
      <c r="Y7" s="47" t="s">
        <v>27</v>
      </c>
      <c r="Z7" s="212">
        <f>AVERAGE(D5,H5,L5,D19,H19,L19,P19,T19)</f>
        <v>6.9504532499999998</v>
      </c>
      <c r="AA7" s="211"/>
      <c r="AB7" s="144"/>
      <c r="AC7" s="212">
        <f>AVERAGE(D33,H33,L33,P33,T33)</f>
        <v>7.5901892000000002</v>
      </c>
      <c r="AD7" s="211"/>
    </row>
    <row r="8" spans="1:30" x14ac:dyDescent="0.25">
      <c r="A8" s="47">
        <v>5</v>
      </c>
      <c r="B8" s="47"/>
      <c r="C8" s="32"/>
      <c r="D8" s="32"/>
      <c r="E8" s="75"/>
      <c r="F8" s="219"/>
      <c r="G8" s="32"/>
      <c r="H8" s="32"/>
      <c r="I8" s="75"/>
      <c r="J8" s="219"/>
      <c r="K8" s="32"/>
      <c r="L8" s="32"/>
      <c r="M8" s="75"/>
      <c r="N8" s="215"/>
      <c r="O8" s="32"/>
      <c r="P8" s="32"/>
      <c r="Q8" s="76"/>
      <c r="R8" s="216"/>
      <c r="Y8" s="47" t="s">
        <v>29</v>
      </c>
      <c r="Z8" s="212">
        <f>AVERAGE(D6,H6,L6,D20,H20,L20,P20,T20)</f>
        <v>5.1625876249999996</v>
      </c>
      <c r="AA8" s="211"/>
      <c r="AB8" s="144"/>
      <c r="AC8" s="212">
        <f>AVERAGE(D34,H34,L34,P34,T34)</f>
        <v>5.7173834000000001</v>
      </c>
      <c r="AD8" s="211"/>
    </row>
    <row r="9" spans="1:30" x14ac:dyDescent="0.25">
      <c r="A9" s="47"/>
      <c r="B9" s="47" t="s">
        <v>56</v>
      </c>
      <c r="C9" s="213">
        <f>SUM(C4:C8)</f>
        <v>100005</v>
      </c>
      <c r="D9" s="213"/>
      <c r="E9" s="213"/>
      <c r="F9" s="219"/>
      <c r="G9" s="213">
        <f>SUM(G4:G8)</f>
        <v>100006</v>
      </c>
      <c r="H9" s="213"/>
      <c r="I9" s="213"/>
      <c r="J9" s="219"/>
      <c r="K9" s="213">
        <f>SUM(K4:K8)</f>
        <v>100009</v>
      </c>
      <c r="L9" s="213"/>
      <c r="M9" s="213"/>
      <c r="N9" s="215"/>
      <c r="O9" s="217" t="s">
        <v>56</v>
      </c>
      <c r="P9" s="218"/>
      <c r="Q9" s="76">
        <f>SUM(O4:O8)</f>
        <v>99997</v>
      </c>
      <c r="R9" s="216"/>
      <c r="Y9" s="47" t="s">
        <v>60</v>
      </c>
      <c r="Z9" s="212">
        <f>AVERAGE(D7,H7,L7,D21,H21,L21,P21,T21)</f>
        <v>1.5430125000000003E-2</v>
      </c>
      <c r="AA9" s="211"/>
      <c r="AB9" s="145"/>
      <c r="AC9" s="212">
        <f>AVERAGE(D35,H35,L35,P35,T35)</f>
        <v>6.7540000000000005E-3</v>
      </c>
      <c r="AD9" s="211"/>
    </row>
    <row r="10" spans="1:30" x14ac:dyDescent="0.25">
      <c r="A10" s="47"/>
      <c r="B10" s="47" t="s">
        <v>57</v>
      </c>
      <c r="C10" s="213">
        <f>SUM(E4:E8)/C9</f>
        <v>3.4579676590770458</v>
      </c>
      <c r="D10" s="213"/>
      <c r="E10" s="213"/>
      <c r="F10" s="219"/>
      <c r="G10" s="213">
        <f>SUM(I4:I8)/G9</f>
        <v>1.4202225645161293</v>
      </c>
      <c r="H10" s="213"/>
      <c r="I10" s="213"/>
      <c r="J10" s="219"/>
      <c r="K10" s="213">
        <f>SUM(M4:M8)/K9</f>
        <v>6.1849879831715127</v>
      </c>
      <c r="L10" s="213"/>
      <c r="M10" s="213"/>
      <c r="N10" s="215"/>
      <c r="O10" s="217" t="s">
        <v>57</v>
      </c>
      <c r="P10" s="218"/>
      <c r="Q10" s="76">
        <f>SUM(Q4:Q8)/Q9</f>
        <v>1.5476097542206269</v>
      </c>
      <c r="R10" s="216"/>
    </row>
    <row r="11" spans="1:30" x14ac:dyDescent="0.25">
      <c r="A11" s="47"/>
      <c r="B11" s="47" t="s">
        <v>171</v>
      </c>
      <c r="C11" s="32">
        <v>50</v>
      </c>
      <c r="D11" s="139" t="s">
        <v>175</v>
      </c>
      <c r="E11" s="138"/>
      <c r="F11" s="219"/>
      <c r="G11" s="32">
        <v>20</v>
      </c>
      <c r="H11" s="139" t="s">
        <v>175</v>
      </c>
      <c r="I11" s="138">
        <v>0.305176</v>
      </c>
      <c r="J11" s="219"/>
      <c r="K11" s="32">
        <v>90</v>
      </c>
      <c r="L11" s="139" t="s">
        <v>175</v>
      </c>
      <c r="M11" s="138">
        <v>68.435669000000004</v>
      </c>
      <c r="N11" s="215"/>
      <c r="O11" s="217" t="s">
        <v>171</v>
      </c>
      <c r="P11" s="218"/>
      <c r="Q11" s="32">
        <f>'CC23XX Power Computation Sheet'!B12</f>
        <v>20</v>
      </c>
      <c r="R11" s="216"/>
    </row>
    <row r="12" spans="1:30" x14ac:dyDescent="0.25">
      <c r="A12" s="47"/>
      <c r="B12" s="47" t="s">
        <v>172</v>
      </c>
      <c r="C12" s="76">
        <v>100</v>
      </c>
      <c r="D12" s="140"/>
      <c r="E12" s="75"/>
      <c r="F12" s="219"/>
      <c r="G12" s="76">
        <v>100</v>
      </c>
      <c r="H12" s="140"/>
      <c r="I12" s="75"/>
      <c r="J12" s="219"/>
      <c r="K12" s="76">
        <v>100</v>
      </c>
      <c r="L12" s="140"/>
      <c r="M12" s="75"/>
      <c r="N12" s="215"/>
      <c r="O12" s="217" t="s">
        <v>172</v>
      </c>
      <c r="P12" s="218"/>
      <c r="Q12" s="76">
        <f>'CC23XX Power Computation Sheet'!B11</f>
        <v>100</v>
      </c>
      <c r="R12" s="216"/>
      <c r="Y12" s="139" t="s">
        <v>186</v>
      </c>
    </row>
    <row r="13" spans="1:30" x14ac:dyDescent="0.25">
      <c r="A13" s="133"/>
      <c r="B13" s="133"/>
      <c r="F13" s="133"/>
      <c r="Y13" s="139"/>
      <c r="Z13" s="207" t="s">
        <v>189</v>
      </c>
      <c r="AA13" s="207"/>
      <c r="AB13" s="89"/>
      <c r="AC13" s="208"/>
      <c r="AD13" s="208"/>
    </row>
    <row r="14" spans="1:30" x14ac:dyDescent="0.25">
      <c r="A14" s="133"/>
      <c r="B14" s="133"/>
      <c r="F14" s="133"/>
      <c r="Y14" s="47" t="s">
        <v>35</v>
      </c>
      <c r="Z14" s="206">
        <f>ROUND(AVERAGE(C4,G4,K4,C18,G18,K18,O18,S18,C32,G32,K32,O32,S32),0)</f>
        <v>415</v>
      </c>
      <c r="AA14" s="206"/>
      <c r="AB14" s="133"/>
      <c r="AC14" s="209"/>
      <c r="AD14" s="205"/>
    </row>
    <row r="15" spans="1:30" x14ac:dyDescent="0.25">
      <c r="A15" s="167" t="s">
        <v>169</v>
      </c>
      <c r="B15" s="167"/>
      <c r="C15" s="167" t="s">
        <v>176</v>
      </c>
      <c r="D15" s="167"/>
      <c r="E15" s="167"/>
      <c r="F15" s="219"/>
      <c r="G15" s="167" t="s">
        <v>177</v>
      </c>
      <c r="H15" s="167"/>
      <c r="I15" s="167"/>
      <c r="J15" s="219"/>
      <c r="K15" s="167" t="s">
        <v>178</v>
      </c>
      <c r="L15" s="167"/>
      <c r="M15" s="167"/>
      <c r="N15" s="219"/>
      <c r="O15" s="167" t="s">
        <v>179</v>
      </c>
      <c r="P15" s="167"/>
      <c r="Q15" s="167"/>
      <c r="R15" s="219"/>
      <c r="S15" s="167" t="s">
        <v>180</v>
      </c>
      <c r="T15" s="167"/>
      <c r="U15" s="167"/>
      <c r="V15" s="219"/>
      <c r="Y15" s="47" t="s">
        <v>190</v>
      </c>
      <c r="Z15" s="206">
        <f>ROUND(AVERAGE((C11*1000-C5),(G11*1000-G5),(K11*1000-K5),(C25*1000-C19),(G25*1000-G19),(K25*1000-K19),(O25*1000-O19),(S25*1000-S19),(C39*1000-C33),(G39*1000-G33),(K39*1000-K33),(O39*1000-O33),(S39*1000-S33)),0)</f>
        <v>84</v>
      </c>
      <c r="AA15" s="206"/>
      <c r="AB15" s="133"/>
      <c r="AC15" s="204"/>
      <c r="AD15" s="205"/>
    </row>
    <row r="16" spans="1:30" x14ac:dyDescent="0.25">
      <c r="A16" s="167"/>
      <c r="B16" s="167"/>
      <c r="C16" s="167"/>
      <c r="D16" s="167"/>
      <c r="E16" s="167"/>
      <c r="F16" s="219"/>
      <c r="G16" s="167"/>
      <c r="H16" s="167"/>
      <c r="I16" s="167"/>
      <c r="J16" s="219"/>
      <c r="K16" s="167"/>
      <c r="L16" s="167"/>
      <c r="M16" s="167"/>
      <c r="N16" s="219"/>
      <c r="O16" s="167"/>
      <c r="P16" s="167"/>
      <c r="Q16" s="167"/>
      <c r="R16" s="219"/>
      <c r="S16" s="167"/>
      <c r="T16" s="167"/>
      <c r="U16" s="167"/>
      <c r="V16" s="219"/>
      <c r="Y16" s="47" t="s">
        <v>29</v>
      </c>
      <c r="Z16" s="206">
        <f>ROUND(AVERAGE(C6,G6,K6,C20,G20,K20,O20,S20,C34,G34,K34,O34,S34),0)</f>
        <v>224</v>
      </c>
      <c r="AA16" s="206"/>
      <c r="AB16" s="133"/>
      <c r="AC16" s="204"/>
      <c r="AD16" s="205"/>
    </row>
    <row r="17" spans="1:30" x14ac:dyDescent="0.25">
      <c r="A17" s="47"/>
      <c r="B17" s="47" t="s">
        <v>19</v>
      </c>
      <c r="C17" s="32" t="s">
        <v>53</v>
      </c>
      <c r="D17" s="32" t="s">
        <v>54</v>
      </c>
      <c r="E17" s="75" t="s">
        <v>55</v>
      </c>
      <c r="F17" s="219"/>
      <c r="G17" s="32" t="s">
        <v>53</v>
      </c>
      <c r="H17" s="32" t="s">
        <v>54</v>
      </c>
      <c r="I17" s="75" t="s">
        <v>55</v>
      </c>
      <c r="J17" s="219"/>
      <c r="K17" s="32" t="s">
        <v>53</v>
      </c>
      <c r="L17" s="32" t="s">
        <v>54</v>
      </c>
      <c r="M17" s="75" t="s">
        <v>55</v>
      </c>
      <c r="N17" s="219"/>
      <c r="O17" s="32" t="s">
        <v>53</v>
      </c>
      <c r="P17" s="32" t="s">
        <v>54</v>
      </c>
      <c r="Q17" s="75" t="s">
        <v>55</v>
      </c>
      <c r="R17" s="219"/>
      <c r="S17" s="32" t="s">
        <v>53</v>
      </c>
      <c r="T17" s="32" t="s">
        <v>54</v>
      </c>
      <c r="U17" s="75" t="s">
        <v>55</v>
      </c>
      <c r="V17" s="219"/>
      <c r="Y17" s="47" t="s">
        <v>191</v>
      </c>
      <c r="Z17" s="206">
        <f>ROUND(AVERAGE((49.5*1000-C7),(79.5*1000-G7),(9.5*1000-K7),(49.5*1000-C21),(49.5*1000-G21),(49.5*1000-K21),(49.5*1000-O21),(49.5*1000-S21),(49.5*1000-C35),(49.5*1000-G35),(49.5*1000-K35),(79.5*1000-O35),(9.5*1000-S35)),0)</f>
        <v>58</v>
      </c>
      <c r="AA17" s="206"/>
      <c r="AB17" s="133"/>
      <c r="AC17" s="204"/>
      <c r="AD17" s="205"/>
    </row>
    <row r="18" spans="1:30" x14ac:dyDescent="0.25">
      <c r="A18" s="47">
        <v>1</v>
      </c>
      <c r="B18" s="47" t="s">
        <v>35</v>
      </c>
      <c r="C18" s="134">
        <v>415</v>
      </c>
      <c r="D18" s="135">
        <v>3.8886790000000002</v>
      </c>
      <c r="E18" s="100">
        <f>C18*D18</f>
        <v>1613.8017850000001</v>
      </c>
      <c r="F18" s="219"/>
      <c r="G18" s="134">
        <v>413</v>
      </c>
      <c r="H18" s="135">
        <v>3.9236879999999998</v>
      </c>
      <c r="I18" s="100">
        <f>G18*H18</f>
        <v>1620.483144</v>
      </c>
      <c r="J18" s="219"/>
      <c r="K18" s="134">
        <v>415</v>
      </c>
      <c r="L18" s="135">
        <v>3.9707530000000002</v>
      </c>
      <c r="M18" s="100">
        <f>K18*L18</f>
        <v>1647.8624950000001</v>
      </c>
      <c r="N18" s="219"/>
      <c r="O18" s="134">
        <v>414</v>
      </c>
      <c r="P18" s="135">
        <v>3.8643999999999998</v>
      </c>
      <c r="Q18" s="100">
        <f>O18*P18</f>
        <v>1599.8616</v>
      </c>
      <c r="R18" s="219"/>
      <c r="S18" s="134">
        <v>415</v>
      </c>
      <c r="T18" s="135">
        <v>3.9510999999999998</v>
      </c>
      <c r="U18" s="100">
        <f>S18*T18</f>
        <v>1639.7065</v>
      </c>
      <c r="V18" s="219"/>
    </row>
    <row r="19" spans="1:30" x14ac:dyDescent="0.25">
      <c r="A19" s="47">
        <v>2</v>
      </c>
      <c r="B19" s="47" t="s">
        <v>27</v>
      </c>
      <c r="C19" s="136">
        <v>49909</v>
      </c>
      <c r="D19" s="137">
        <v>7.0074430000000003</v>
      </c>
      <c r="E19" s="100">
        <f t="shared" ref="E19:E20" si="4">C19*D19</f>
        <v>349734.472687</v>
      </c>
      <c r="F19" s="219"/>
      <c r="G19" s="136">
        <v>49924</v>
      </c>
      <c r="H19" s="137">
        <v>6.9917550000000004</v>
      </c>
      <c r="I19" s="100">
        <f t="shared" ref="I19:I20" si="5">G19*H19</f>
        <v>349056.37662</v>
      </c>
      <c r="J19" s="219"/>
      <c r="K19" s="136">
        <v>49914</v>
      </c>
      <c r="L19" s="137">
        <v>7.0031249999999998</v>
      </c>
      <c r="M19" s="100">
        <f t="shared" ref="M19:M20" si="6">K19*L19</f>
        <v>349553.98125000001</v>
      </c>
      <c r="N19" s="219"/>
      <c r="O19" s="136">
        <v>49926</v>
      </c>
      <c r="P19" s="137">
        <v>7.0204199999999997</v>
      </c>
      <c r="Q19" s="100">
        <f t="shared" ref="Q19:Q20" si="7">O19*P19</f>
        <v>350501.48891999997</v>
      </c>
      <c r="R19" s="219"/>
      <c r="S19" s="136">
        <v>49925</v>
      </c>
      <c r="T19" s="137">
        <v>6.98766</v>
      </c>
      <c r="U19" s="100">
        <f t="shared" ref="U19:U20" si="8">S19*T19</f>
        <v>348858.92550000001</v>
      </c>
      <c r="V19" s="219"/>
    </row>
    <row r="20" spans="1:30" x14ac:dyDescent="0.25">
      <c r="A20" s="47">
        <v>3</v>
      </c>
      <c r="B20" s="47" t="s">
        <v>29</v>
      </c>
      <c r="C20" s="136">
        <v>223</v>
      </c>
      <c r="D20" s="137">
        <v>5.2197769999999997</v>
      </c>
      <c r="E20" s="100">
        <f t="shared" si="4"/>
        <v>1164.0102709999999</v>
      </c>
      <c r="F20" s="219"/>
      <c r="G20" s="136">
        <v>226</v>
      </c>
      <c r="H20" s="137">
        <v>4.9610630000000002</v>
      </c>
      <c r="I20" s="100">
        <f t="shared" si="5"/>
        <v>1121.2002380000001</v>
      </c>
      <c r="J20" s="219"/>
      <c r="K20" s="136">
        <v>224</v>
      </c>
      <c r="L20" s="137">
        <v>5.1795109999999998</v>
      </c>
      <c r="M20" s="100">
        <f t="shared" si="6"/>
        <v>1160.210464</v>
      </c>
      <c r="N20" s="219"/>
      <c r="O20" s="136">
        <v>228</v>
      </c>
      <c r="P20" s="137">
        <v>5.4974020000000001</v>
      </c>
      <c r="Q20" s="100">
        <f t="shared" si="7"/>
        <v>1253.4076560000001</v>
      </c>
      <c r="R20" s="219"/>
      <c r="S20" s="136">
        <v>223</v>
      </c>
      <c r="T20" s="137">
        <v>5.2430890000000003</v>
      </c>
      <c r="U20" s="100">
        <f t="shared" si="8"/>
        <v>1169.2088470000001</v>
      </c>
      <c r="V20" s="219"/>
    </row>
    <row r="21" spans="1:30" x14ac:dyDescent="0.25">
      <c r="A21" s="47">
        <v>4</v>
      </c>
      <c r="B21" s="47" t="s">
        <v>60</v>
      </c>
      <c r="C21" s="136">
        <v>49439</v>
      </c>
      <c r="D21" s="137">
        <v>1.162E-2</v>
      </c>
      <c r="E21" s="100">
        <f>C21*D21</f>
        <v>574.48117999999999</v>
      </c>
      <c r="F21" s="219"/>
      <c r="G21" s="136">
        <v>49417</v>
      </c>
      <c r="H21" s="137">
        <v>1.251E-2</v>
      </c>
      <c r="I21" s="100">
        <f>G21*H21</f>
        <v>618.20667000000003</v>
      </c>
      <c r="J21" s="219"/>
      <c r="K21" s="136">
        <v>49452</v>
      </c>
      <c r="L21" s="137">
        <v>1.191E-2</v>
      </c>
      <c r="M21" s="100">
        <f>K21*L21</f>
        <v>588.97332000000006</v>
      </c>
      <c r="N21" s="219"/>
      <c r="O21" s="136">
        <v>49439</v>
      </c>
      <c r="P21" s="137">
        <v>7.561E-3</v>
      </c>
      <c r="Q21" s="100">
        <f>O21*P21</f>
        <v>373.80827900000003</v>
      </c>
      <c r="R21" s="219"/>
      <c r="S21" s="136">
        <v>49443</v>
      </c>
      <c r="T21" s="137">
        <v>8.2030000000000002E-3</v>
      </c>
      <c r="U21" s="100">
        <f>S21*T21</f>
        <v>405.58092900000003</v>
      </c>
      <c r="V21" s="219"/>
    </row>
    <row r="22" spans="1:30" x14ac:dyDescent="0.25">
      <c r="A22" s="47">
        <v>5</v>
      </c>
      <c r="B22" s="47"/>
      <c r="C22" s="32"/>
      <c r="D22" s="32"/>
      <c r="E22" s="75"/>
      <c r="F22" s="219"/>
      <c r="G22" s="32"/>
      <c r="H22" s="32"/>
      <c r="I22" s="75"/>
      <c r="J22" s="219"/>
      <c r="K22" s="32"/>
      <c r="L22" s="32"/>
      <c r="M22" s="75"/>
      <c r="N22" s="219"/>
      <c r="O22" s="32"/>
      <c r="P22" s="32"/>
      <c r="Q22" s="75"/>
      <c r="R22" s="219"/>
      <c r="S22" s="32"/>
      <c r="T22" s="32"/>
      <c r="U22" s="75"/>
      <c r="V22" s="219"/>
    </row>
    <row r="23" spans="1:30" x14ac:dyDescent="0.25">
      <c r="A23" s="47"/>
      <c r="B23" s="47" t="s">
        <v>56</v>
      </c>
      <c r="C23" s="213">
        <f>SUM(C18:C22)</f>
        <v>99986</v>
      </c>
      <c r="D23" s="213"/>
      <c r="E23" s="213"/>
      <c r="F23" s="219"/>
      <c r="G23" s="213">
        <f>SUM(G18:G22)</f>
        <v>99980</v>
      </c>
      <c r="H23" s="213"/>
      <c r="I23" s="213"/>
      <c r="J23" s="219"/>
      <c r="K23" s="213">
        <f>SUM(K18:K22)</f>
        <v>100005</v>
      </c>
      <c r="L23" s="213"/>
      <c r="M23" s="213"/>
      <c r="N23" s="219"/>
      <c r="O23" s="213">
        <f>SUM(O18:O22)</f>
        <v>100007</v>
      </c>
      <c r="P23" s="213"/>
      <c r="Q23" s="213"/>
      <c r="R23" s="219"/>
      <c r="S23" s="213">
        <f>SUM(S18:S22)</f>
        <v>100006</v>
      </c>
      <c r="T23" s="213"/>
      <c r="U23" s="213"/>
      <c r="V23" s="219"/>
    </row>
    <row r="24" spans="1:30" x14ac:dyDescent="0.25">
      <c r="A24" s="47"/>
      <c r="B24" s="47" t="s">
        <v>57</v>
      </c>
      <c r="C24" s="213">
        <f>SUM(E18:E22)/C23</f>
        <v>3.5313620499169884</v>
      </c>
      <c r="D24" s="213"/>
      <c r="E24" s="213"/>
      <c r="F24" s="219"/>
      <c r="G24" s="213">
        <f>SUM(I18:I22)/G23</f>
        <v>3.5248676402480497</v>
      </c>
      <c r="H24" s="213"/>
      <c r="I24" s="213"/>
      <c r="J24" s="219"/>
      <c r="K24" s="213">
        <f>SUM(M18:M22)/K23</f>
        <v>3.5293338085995702</v>
      </c>
      <c r="L24" s="213"/>
      <c r="M24" s="213"/>
      <c r="N24" s="219"/>
      <c r="O24" s="213">
        <f>SUM(Q18:Q22)/O23</f>
        <v>3.5370380718849677</v>
      </c>
      <c r="P24" s="213"/>
      <c r="Q24" s="213"/>
      <c r="R24" s="219"/>
      <c r="S24" s="213">
        <f>SUM(U18:U22)/S23</f>
        <v>3.5205229863808167</v>
      </c>
      <c r="T24" s="213"/>
      <c r="U24" s="213"/>
      <c r="V24" s="219"/>
    </row>
    <row r="25" spans="1:30" x14ac:dyDescent="0.25">
      <c r="A25" s="47"/>
      <c r="B25" s="47" t="s">
        <v>171</v>
      </c>
      <c r="C25" s="32">
        <v>50</v>
      </c>
      <c r="D25" s="139" t="s">
        <v>175</v>
      </c>
      <c r="E25" s="138">
        <v>0.27974399999999999</v>
      </c>
      <c r="F25" s="219"/>
      <c r="G25" s="32">
        <v>50</v>
      </c>
      <c r="H25" s="139" t="s">
        <v>175</v>
      </c>
      <c r="I25" s="138">
        <v>0.27974399999999999</v>
      </c>
      <c r="J25" s="219"/>
      <c r="K25" s="32">
        <v>50</v>
      </c>
      <c r="L25" s="139" t="s">
        <v>175</v>
      </c>
      <c r="M25" s="138"/>
      <c r="N25" s="219"/>
      <c r="O25" s="32">
        <v>50</v>
      </c>
      <c r="P25" s="139" t="s">
        <v>175</v>
      </c>
      <c r="Q25" s="138">
        <v>0.33060699999999998</v>
      </c>
      <c r="R25" s="219"/>
      <c r="S25" s="32">
        <v>50</v>
      </c>
      <c r="T25" s="139" t="s">
        <v>175</v>
      </c>
      <c r="U25" s="138">
        <v>0.25431300000000001</v>
      </c>
      <c r="V25" s="219"/>
    </row>
    <row r="26" spans="1:30" x14ac:dyDescent="0.25">
      <c r="A26" s="47"/>
      <c r="B26" s="47" t="s">
        <v>172</v>
      </c>
      <c r="C26" s="76">
        <v>100</v>
      </c>
      <c r="D26" s="140"/>
      <c r="E26" s="75"/>
      <c r="F26" s="219"/>
      <c r="G26" s="76">
        <v>100</v>
      </c>
      <c r="H26" s="140"/>
      <c r="I26" s="75"/>
      <c r="J26" s="219"/>
      <c r="K26" s="76">
        <v>100</v>
      </c>
      <c r="L26" s="140"/>
      <c r="M26" s="75"/>
      <c r="N26" s="219"/>
      <c r="O26" s="76">
        <v>100</v>
      </c>
      <c r="P26" s="140"/>
      <c r="Q26" s="75"/>
      <c r="R26" s="219"/>
      <c r="S26" s="76">
        <v>100</v>
      </c>
      <c r="T26" s="140"/>
      <c r="U26" s="75"/>
      <c r="V26" s="219"/>
    </row>
    <row r="29" spans="1:30" x14ac:dyDescent="0.25">
      <c r="A29" s="167" t="s">
        <v>169</v>
      </c>
      <c r="B29" s="167"/>
      <c r="C29" s="214" t="s">
        <v>181</v>
      </c>
      <c r="D29" s="214"/>
      <c r="E29" s="214"/>
      <c r="F29" s="219"/>
      <c r="G29" s="214" t="s">
        <v>182</v>
      </c>
      <c r="H29" s="214"/>
      <c r="I29" s="214"/>
      <c r="J29" s="219"/>
      <c r="K29" s="214" t="s">
        <v>183</v>
      </c>
      <c r="L29" s="214"/>
      <c r="M29" s="214"/>
      <c r="N29" s="219"/>
      <c r="O29" s="214" t="s">
        <v>184</v>
      </c>
      <c r="P29" s="214"/>
      <c r="Q29" s="214"/>
      <c r="R29" s="219"/>
      <c r="S29" s="214" t="s">
        <v>185</v>
      </c>
      <c r="T29" s="214"/>
      <c r="U29" s="214"/>
      <c r="V29" s="219"/>
    </row>
    <row r="30" spans="1:30" x14ac:dyDescent="0.25">
      <c r="A30" s="167"/>
      <c r="B30" s="167"/>
      <c r="C30" s="214"/>
      <c r="D30" s="214"/>
      <c r="E30" s="214"/>
      <c r="F30" s="219"/>
      <c r="G30" s="214"/>
      <c r="H30" s="214"/>
      <c r="I30" s="214"/>
      <c r="J30" s="219"/>
      <c r="K30" s="214"/>
      <c r="L30" s="214"/>
      <c r="M30" s="214"/>
      <c r="N30" s="219"/>
      <c r="O30" s="214"/>
      <c r="P30" s="214"/>
      <c r="Q30" s="214"/>
      <c r="R30" s="219"/>
      <c r="S30" s="214"/>
      <c r="T30" s="214"/>
      <c r="U30" s="214"/>
      <c r="V30" s="219"/>
    </row>
    <row r="31" spans="1:30" x14ac:dyDescent="0.25">
      <c r="A31" s="47"/>
      <c r="B31" s="47" t="s">
        <v>19</v>
      </c>
      <c r="C31" s="32" t="s">
        <v>53</v>
      </c>
      <c r="D31" s="32" t="s">
        <v>54</v>
      </c>
      <c r="E31" s="75" t="s">
        <v>55</v>
      </c>
      <c r="F31" s="219"/>
      <c r="G31" s="32" t="s">
        <v>53</v>
      </c>
      <c r="H31" s="32" t="s">
        <v>54</v>
      </c>
      <c r="I31" s="75" t="s">
        <v>55</v>
      </c>
      <c r="J31" s="219"/>
      <c r="K31" s="32" t="s">
        <v>53</v>
      </c>
      <c r="L31" s="32" t="s">
        <v>54</v>
      </c>
      <c r="M31" s="75" t="s">
        <v>55</v>
      </c>
      <c r="N31" s="219"/>
      <c r="O31" s="32" t="s">
        <v>53</v>
      </c>
      <c r="P31" s="32" t="s">
        <v>54</v>
      </c>
      <c r="Q31" s="75" t="s">
        <v>55</v>
      </c>
      <c r="R31" s="219"/>
      <c r="S31" s="32" t="s">
        <v>53</v>
      </c>
      <c r="T31" s="32" t="s">
        <v>54</v>
      </c>
      <c r="U31" s="75" t="s">
        <v>55</v>
      </c>
      <c r="V31" s="219"/>
    </row>
    <row r="32" spans="1:30" x14ac:dyDescent="0.25">
      <c r="A32" s="47">
        <v>1</v>
      </c>
      <c r="B32" s="47" t="s">
        <v>35</v>
      </c>
      <c r="C32" s="134">
        <v>413</v>
      </c>
      <c r="D32" s="135">
        <v>4.3626259999999997</v>
      </c>
      <c r="E32" s="100">
        <f>C32*D32</f>
        <v>1801.7645379999999</v>
      </c>
      <c r="F32" s="219"/>
      <c r="G32" s="134">
        <v>414</v>
      </c>
      <c r="H32" s="135">
        <v>4.1117809999999997</v>
      </c>
      <c r="I32" s="100">
        <f>G32*H32</f>
        <v>1702.2773339999999</v>
      </c>
      <c r="J32" s="219"/>
      <c r="K32" s="134">
        <v>414</v>
      </c>
      <c r="L32" s="135">
        <v>4.3163879999999999</v>
      </c>
      <c r="M32" s="100">
        <f>K32*L32</f>
        <v>1786.9846319999999</v>
      </c>
      <c r="N32" s="219"/>
      <c r="O32" s="134">
        <v>414</v>
      </c>
      <c r="P32" s="135">
        <v>4.37303</v>
      </c>
      <c r="Q32" s="100">
        <f>O32*P32</f>
        <v>1810.43442</v>
      </c>
      <c r="R32" s="219"/>
      <c r="S32" s="134">
        <v>415</v>
      </c>
      <c r="T32" s="135">
        <v>4.196167</v>
      </c>
      <c r="U32" s="100">
        <f>S32*T32</f>
        <v>1741.4093049999999</v>
      </c>
      <c r="V32" s="219"/>
    </row>
    <row r="33" spans="1:22" x14ac:dyDescent="0.25">
      <c r="A33" s="47">
        <v>2</v>
      </c>
      <c r="B33" s="47" t="s">
        <v>27</v>
      </c>
      <c r="C33" s="136">
        <v>49904</v>
      </c>
      <c r="D33" s="137">
        <v>7.5661870000000002</v>
      </c>
      <c r="E33" s="100">
        <f t="shared" ref="E33:E34" si="9">C33*D33</f>
        <v>377582.996048</v>
      </c>
      <c r="F33" s="219"/>
      <c r="G33" s="136">
        <v>49910</v>
      </c>
      <c r="H33" s="137">
        <v>7.5164759999999999</v>
      </c>
      <c r="I33" s="100">
        <f t="shared" ref="I33:I34" si="10">G33*H33</f>
        <v>375147.31715999998</v>
      </c>
      <c r="J33" s="219"/>
      <c r="K33" s="136">
        <v>49922</v>
      </c>
      <c r="L33" s="137">
        <v>7.6149370000000003</v>
      </c>
      <c r="M33" s="100">
        <f t="shared" ref="M33:M34" si="11">K33*L33</f>
        <v>380152.88491399999</v>
      </c>
      <c r="N33" s="219"/>
      <c r="O33" s="136">
        <v>19909</v>
      </c>
      <c r="P33" s="137">
        <v>7.6572829999999996</v>
      </c>
      <c r="Q33" s="100">
        <f t="shared" ref="Q33:Q34" si="12">O33*P33</f>
        <v>152448.847247</v>
      </c>
      <c r="R33" s="219"/>
      <c r="S33" s="136">
        <v>89911</v>
      </c>
      <c r="T33" s="137">
        <v>7.596063</v>
      </c>
      <c r="U33" s="100">
        <f t="shared" ref="U33" si="13">S33*T33</f>
        <v>682969.62039299996</v>
      </c>
      <c r="V33" s="219"/>
    </row>
    <row r="34" spans="1:22" x14ac:dyDescent="0.25">
      <c r="A34" s="47">
        <v>3</v>
      </c>
      <c r="B34" s="47" t="s">
        <v>29</v>
      </c>
      <c r="C34" s="136">
        <v>225</v>
      </c>
      <c r="D34" s="137">
        <v>5.9678820000000004</v>
      </c>
      <c r="E34" s="100">
        <f t="shared" si="9"/>
        <v>1342.7734500000001</v>
      </c>
      <c r="F34" s="219"/>
      <c r="G34" s="136">
        <v>228</v>
      </c>
      <c r="H34" s="137">
        <v>5.6605869999999996</v>
      </c>
      <c r="I34" s="100">
        <f t="shared" si="10"/>
        <v>1290.613836</v>
      </c>
      <c r="J34" s="219"/>
      <c r="K34" s="136">
        <v>226</v>
      </c>
      <c r="L34" s="137">
        <v>5.755954</v>
      </c>
      <c r="M34" s="100">
        <f t="shared" si="11"/>
        <v>1300.8456040000001</v>
      </c>
      <c r="N34" s="219"/>
      <c r="O34" s="136">
        <v>226</v>
      </c>
      <c r="P34" s="137">
        <v>5.4528980000000002</v>
      </c>
      <c r="Q34" s="100">
        <f t="shared" si="12"/>
        <v>1232.3549480000001</v>
      </c>
      <c r="R34" s="219"/>
      <c r="S34" s="32">
        <v>222</v>
      </c>
      <c r="T34" s="32">
        <v>5.7495960000000004</v>
      </c>
      <c r="U34" s="32">
        <f>S34*T34</f>
        <v>1276.410312</v>
      </c>
      <c r="V34" s="219"/>
    </row>
    <row r="35" spans="1:22" x14ac:dyDescent="0.25">
      <c r="A35" s="47">
        <v>4</v>
      </c>
      <c r="B35" s="47" t="s">
        <v>60</v>
      </c>
      <c r="C35" s="136">
        <v>49421</v>
      </c>
      <c r="D35" s="137">
        <v>1.1689999999999999E-3</v>
      </c>
      <c r="E35" s="100">
        <f>C35*D35</f>
        <v>57.773148999999997</v>
      </c>
      <c r="F35" s="219"/>
      <c r="G35" s="136">
        <v>49432</v>
      </c>
      <c r="H35" s="137">
        <v>5.5310000000000003E-3</v>
      </c>
      <c r="I35" s="100">
        <f>G35*H35</f>
        <v>273.40839199999999</v>
      </c>
      <c r="J35" s="219"/>
      <c r="K35" s="136">
        <v>49445</v>
      </c>
      <c r="L35" s="137">
        <v>1.5779000000000001E-2</v>
      </c>
      <c r="M35" s="100">
        <f>K35*L35</f>
        <v>780.19265500000006</v>
      </c>
      <c r="N35" s="219"/>
      <c r="O35" s="136">
        <v>79438</v>
      </c>
      <c r="P35" s="137">
        <v>9.4739999999999998E-3</v>
      </c>
      <c r="Q35" s="100">
        <f>O35*P35</f>
        <v>752.59561199999996</v>
      </c>
      <c r="R35" s="219"/>
      <c r="S35" s="136">
        <v>9459</v>
      </c>
      <c r="T35" s="137">
        <v>1.817E-3</v>
      </c>
      <c r="U35" s="100">
        <f>S35*T35</f>
        <v>17.187003000000001</v>
      </c>
      <c r="V35" s="219"/>
    </row>
    <row r="36" spans="1:22" x14ac:dyDescent="0.25">
      <c r="A36" s="47">
        <v>5</v>
      </c>
      <c r="B36" s="47"/>
      <c r="C36" s="32"/>
      <c r="D36" s="32"/>
      <c r="E36" s="75"/>
      <c r="F36" s="219"/>
      <c r="G36" s="32"/>
      <c r="H36" s="32"/>
      <c r="I36" s="75"/>
      <c r="J36" s="219"/>
      <c r="K36" s="32"/>
      <c r="L36" s="32"/>
      <c r="M36" s="75"/>
      <c r="N36" s="219"/>
      <c r="O36" s="32"/>
      <c r="P36" s="32"/>
      <c r="Q36" s="75"/>
      <c r="R36" s="219"/>
      <c r="S36" s="32"/>
      <c r="T36" s="32"/>
      <c r="U36" s="75"/>
      <c r="V36" s="219"/>
    </row>
    <row r="37" spans="1:22" x14ac:dyDescent="0.25">
      <c r="A37" s="47"/>
      <c r="B37" s="47" t="s">
        <v>56</v>
      </c>
      <c r="C37" s="213">
        <f>SUM(C32:C36)</f>
        <v>99963</v>
      </c>
      <c r="D37" s="213"/>
      <c r="E37" s="213"/>
      <c r="F37" s="219"/>
      <c r="G37" s="213">
        <f>SUM(G32:G36)</f>
        <v>99984</v>
      </c>
      <c r="H37" s="213"/>
      <c r="I37" s="213"/>
      <c r="J37" s="219"/>
      <c r="K37" s="213">
        <f>SUM(K32:K36)</f>
        <v>100007</v>
      </c>
      <c r="L37" s="213"/>
      <c r="M37" s="213"/>
      <c r="N37" s="219"/>
      <c r="O37" s="213">
        <f>SUM(O32:O36)</f>
        <v>99987</v>
      </c>
      <c r="P37" s="213"/>
      <c r="Q37" s="213"/>
      <c r="R37" s="219"/>
      <c r="S37" s="213">
        <f>SUM(S32:S36)</f>
        <v>100007</v>
      </c>
      <c r="T37" s="213"/>
      <c r="U37" s="213"/>
      <c r="V37" s="219"/>
    </row>
    <row r="38" spans="1:22" x14ac:dyDescent="0.25">
      <c r="A38" s="47"/>
      <c r="B38" s="47" t="s">
        <v>57</v>
      </c>
      <c r="C38" s="213">
        <f>SUM(E32:E36)/C37</f>
        <v>3.8092624989746207</v>
      </c>
      <c r="D38" s="213"/>
      <c r="E38" s="213"/>
      <c r="F38" s="219"/>
      <c r="G38" s="213">
        <f>SUM(I32:I36)/G37</f>
        <v>3.7847417258961427</v>
      </c>
      <c r="H38" s="213"/>
      <c r="I38" s="213"/>
      <c r="J38" s="219"/>
      <c r="K38" s="213">
        <f>SUM(M32:M36)/K37</f>
        <v>3.8399402822302435</v>
      </c>
      <c r="L38" s="213"/>
      <c r="M38" s="213"/>
      <c r="N38" s="219"/>
      <c r="O38" s="213">
        <f>SUM(Q32:Q36)/O37</f>
        <v>1.5626454661806035</v>
      </c>
      <c r="P38" s="213"/>
      <c r="Q38" s="213"/>
      <c r="R38" s="219"/>
      <c r="S38" s="213">
        <f>SUM(U32:U36)/S37</f>
        <v>6.8595661005029642</v>
      </c>
      <c r="T38" s="213"/>
      <c r="U38" s="213"/>
      <c r="V38" s="219"/>
    </row>
    <row r="39" spans="1:22" x14ac:dyDescent="0.25">
      <c r="A39" s="47"/>
      <c r="B39" s="47" t="s">
        <v>171</v>
      </c>
      <c r="C39" s="32">
        <v>50</v>
      </c>
      <c r="D39" s="139" t="s">
        <v>175</v>
      </c>
      <c r="E39" s="138">
        <v>0.25431300000000001</v>
      </c>
      <c r="F39" s="219"/>
      <c r="G39" s="32">
        <v>50</v>
      </c>
      <c r="H39" s="139" t="s">
        <v>175</v>
      </c>
      <c r="I39" s="138">
        <v>0.305176</v>
      </c>
      <c r="J39" s="219"/>
      <c r="K39" s="32">
        <v>50</v>
      </c>
      <c r="L39" s="139" t="s">
        <v>175</v>
      </c>
      <c r="M39" s="138">
        <v>0.27974399999999999</v>
      </c>
      <c r="N39" s="219"/>
      <c r="O39" s="32">
        <v>20</v>
      </c>
      <c r="P39" s="139" t="s">
        <v>175</v>
      </c>
      <c r="Q39" s="138">
        <v>0.27974399999999999</v>
      </c>
      <c r="R39" s="219"/>
      <c r="S39" s="32">
        <v>90</v>
      </c>
      <c r="T39" s="139" t="s">
        <v>175</v>
      </c>
      <c r="U39" s="138">
        <v>0.228882</v>
      </c>
      <c r="V39" s="219"/>
    </row>
    <row r="40" spans="1:22" x14ac:dyDescent="0.25">
      <c r="A40" s="47"/>
      <c r="B40" s="47" t="s">
        <v>172</v>
      </c>
      <c r="C40" s="76">
        <v>100</v>
      </c>
      <c r="D40" s="140"/>
      <c r="E40" s="75"/>
      <c r="F40" s="219"/>
      <c r="G40" s="76">
        <v>100</v>
      </c>
      <c r="H40" s="140"/>
      <c r="I40" s="75"/>
      <c r="J40" s="219"/>
      <c r="K40" s="76">
        <v>100</v>
      </c>
      <c r="L40" s="140"/>
      <c r="M40" s="75"/>
      <c r="N40" s="219"/>
      <c r="O40" s="76">
        <v>100</v>
      </c>
      <c r="P40" s="140"/>
      <c r="Q40" s="75"/>
      <c r="R40" s="219"/>
      <c r="S40" s="76">
        <v>100</v>
      </c>
      <c r="T40" s="140"/>
      <c r="U40" s="75"/>
      <c r="V40" s="219"/>
    </row>
    <row r="43" spans="1:22" x14ac:dyDescent="0.25">
      <c r="A43" s="141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</row>
    <row r="44" spans="1:22" x14ac:dyDescent="0.25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</row>
    <row r="45" spans="1:22" x14ac:dyDescent="0.25">
      <c r="A45" s="141"/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</row>
    <row r="46" spans="1:22" x14ac:dyDescent="0.25">
      <c r="A46" s="141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</row>
    <row r="47" spans="1:22" x14ac:dyDescent="0.25">
      <c r="A47" s="141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</row>
    <row r="48" spans="1:22" x14ac:dyDescent="0.25">
      <c r="A48" s="141"/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</row>
    <row r="49" spans="1:22" x14ac:dyDescent="0.25">
      <c r="A49" s="141"/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</row>
    <row r="50" spans="1:22" x14ac:dyDescent="0.25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</row>
    <row r="51" spans="1:22" x14ac:dyDescent="0.25">
      <c r="A51" s="141"/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</row>
    <row r="52" spans="1:22" x14ac:dyDescent="0.25">
      <c r="A52" s="141"/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</row>
    <row r="53" spans="1:22" x14ac:dyDescent="0.25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</row>
    <row r="54" spans="1:22" x14ac:dyDescent="0.25">
      <c r="A54" s="141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</row>
    <row r="55" spans="1:22" x14ac:dyDescent="0.25">
      <c r="A55" s="141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</row>
    <row r="56" spans="1:22" x14ac:dyDescent="0.25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</row>
    <row r="57" spans="1:22" x14ac:dyDescent="0.25">
      <c r="A57" s="141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</row>
    <row r="58" spans="1:22" x14ac:dyDescent="0.25">
      <c r="A58" s="141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</row>
    <row r="59" spans="1:22" x14ac:dyDescent="0.25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</row>
    <row r="60" spans="1:22" x14ac:dyDescent="0.25">
      <c r="A60" s="141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</row>
    <row r="61" spans="1:22" x14ac:dyDescent="0.25">
      <c r="A61" s="141"/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</row>
    <row r="62" spans="1:22" x14ac:dyDescent="0.25">
      <c r="A62" s="141"/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</row>
    <row r="63" spans="1:22" x14ac:dyDescent="0.25">
      <c r="A63" s="141"/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</row>
    <row r="64" spans="1:22" x14ac:dyDescent="0.25">
      <c r="A64" s="141"/>
      <c r="B64" s="141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  <c r="S64" s="141"/>
      <c r="T64" s="141"/>
      <c r="U64" s="141"/>
      <c r="V64" s="141"/>
    </row>
    <row r="65" spans="1:22" x14ac:dyDescent="0.25">
      <c r="A65" s="141"/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</row>
    <row r="66" spans="1:22" x14ac:dyDescent="0.25">
      <c r="A66" s="141"/>
      <c r="B66" s="141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</row>
    <row r="67" spans="1:22" x14ac:dyDescent="0.25">
      <c r="A67" s="141"/>
      <c r="B67" s="14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</row>
    <row r="68" spans="1:22" x14ac:dyDescent="0.25">
      <c r="A68" s="141"/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</row>
  </sheetData>
  <mergeCells count="81">
    <mergeCell ref="A1:B2"/>
    <mergeCell ref="C1:E2"/>
    <mergeCell ref="G1:I2"/>
    <mergeCell ref="J1:J12"/>
    <mergeCell ref="G9:I9"/>
    <mergeCell ref="G10:I10"/>
    <mergeCell ref="C10:E10"/>
    <mergeCell ref="C9:E9"/>
    <mergeCell ref="F1:F12"/>
    <mergeCell ref="A15:B16"/>
    <mergeCell ref="C15:E16"/>
    <mergeCell ref="F15:F26"/>
    <mergeCell ref="G15:I16"/>
    <mergeCell ref="J15:J26"/>
    <mergeCell ref="C23:E23"/>
    <mergeCell ref="G23:I23"/>
    <mergeCell ref="C24:E24"/>
    <mergeCell ref="G24:I24"/>
    <mergeCell ref="A29:B30"/>
    <mergeCell ref="C29:E30"/>
    <mergeCell ref="F29:F40"/>
    <mergeCell ref="G29:I30"/>
    <mergeCell ref="J29:J40"/>
    <mergeCell ref="C38:E38"/>
    <mergeCell ref="G38:I38"/>
    <mergeCell ref="C37:E37"/>
    <mergeCell ref="G37:I37"/>
    <mergeCell ref="K38:M38"/>
    <mergeCell ref="O38:Q38"/>
    <mergeCell ref="S38:U38"/>
    <mergeCell ref="N29:N40"/>
    <mergeCell ref="O29:Q30"/>
    <mergeCell ref="R29:R40"/>
    <mergeCell ref="K37:M37"/>
    <mergeCell ref="O37:Q37"/>
    <mergeCell ref="V15:V26"/>
    <mergeCell ref="S23:U23"/>
    <mergeCell ref="S24:U24"/>
    <mergeCell ref="S29:U30"/>
    <mergeCell ref="V29:V40"/>
    <mergeCell ref="S37:U37"/>
    <mergeCell ref="K15:M16"/>
    <mergeCell ref="N15:N26"/>
    <mergeCell ref="O15:Q16"/>
    <mergeCell ref="R15:R26"/>
    <mergeCell ref="O23:Q23"/>
    <mergeCell ref="R1:R12"/>
    <mergeCell ref="O9:P9"/>
    <mergeCell ref="O10:P10"/>
    <mergeCell ref="O11:P11"/>
    <mergeCell ref="O12:P12"/>
    <mergeCell ref="O24:Q24"/>
    <mergeCell ref="K29:M30"/>
    <mergeCell ref="N1:N12"/>
    <mergeCell ref="K23:M23"/>
    <mergeCell ref="Z5:AA5"/>
    <mergeCell ref="Z6:AA6"/>
    <mergeCell ref="Z7:AA7"/>
    <mergeCell ref="Z8:AA8"/>
    <mergeCell ref="Z9:AA9"/>
    <mergeCell ref="Z16:AA16"/>
    <mergeCell ref="K24:M24"/>
    <mergeCell ref="O1:Q2"/>
    <mergeCell ref="S15:U16"/>
    <mergeCell ref="K9:M9"/>
    <mergeCell ref="K10:M10"/>
    <mergeCell ref="K1:M2"/>
    <mergeCell ref="AC5:AD5"/>
    <mergeCell ref="AC6:AD6"/>
    <mergeCell ref="AC7:AD7"/>
    <mergeCell ref="AC8:AD8"/>
    <mergeCell ref="AC9:AD9"/>
    <mergeCell ref="AC16:AD16"/>
    <mergeCell ref="Z17:AA17"/>
    <mergeCell ref="AC17:AD17"/>
    <mergeCell ref="Z13:AA13"/>
    <mergeCell ref="AC13:AD13"/>
    <mergeCell ref="Z14:AA14"/>
    <mergeCell ref="AC14:AD14"/>
    <mergeCell ref="Z15:AA15"/>
    <mergeCell ref="AC15:AD1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0A3C2-3267-489D-B25D-B9627A96C73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D9F3-EEA5-418A-9C1E-0E915901F6BA}">
  <dimension ref="A2:M32"/>
  <sheetViews>
    <sheetView topLeftCell="C1" workbookViewId="0">
      <selection activeCell="E11" sqref="E11"/>
    </sheetView>
  </sheetViews>
  <sheetFormatPr defaultRowHeight="15" x14ac:dyDescent="0.25"/>
  <cols>
    <col min="2" max="2" width="18.5703125" customWidth="1"/>
    <col min="3" max="3" width="22.42578125" customWidth="1"/>
    <col min="4" max="4" width="20.5703125" customWidth="1"/>
    <col min="5" max="5" width="25.85546875" customWidth="1"/>
    <col min="12" max="12" width="19" customWidth="1"/>
  </cols>
  <sheetData>
    <row r="2" spans="1:13" x14ac:dyDescent="0.25">
      <c r="A2" t="str">
        <f>'CC23XX Power Computation Sheet'!C13</f>
        <v>D</v>
      </c>
      <c r="B2">
        <f>'CC23XX Power Computation Sheet'!D13</f>
        <v>0</v>
      </c>
      <c r="C2">
        <f>'CC23XX Power Computation Sheet'!E13</f>
        <v>1</v>
      </c>
      <c r="D2">
        <f>'CC23XX Power Computation Sheet'!F13</f>
        <v>0</v>
      </c>
      <c r="E2">
        <f>'CC23XX Power Computation Sheet'!G13</f>
        <v>0</v>
      </c>
      <c r="K2" t="s">
        <v>20</v>
      </c>
      <c r="L2" t="s">
        <v>89</v>
      </c>
      <c r="M2" t="s">
        <v>90</v>
      </c>
    </row>
    <row r="3" spans="1:13" x14ac:dyDescent="0.25">
      <c r="A3">
        <f>'CC23XX Power Computation Sheet'!C14</f>
        <v>0</v>
      </c>
      <c r="B3">
        <f>'CC23XX Power Computation Sheet'!D14</f>
        <v>0</v>
      </c>
      <c r="C3">
        <f>'CC23XX Power Computation Sheet'!E14</f>
        <v>0</v>
      </c>
      <c r="D3">
        <f>'CC23XX Power Computation Sheet'!F14</f>
        <v>0</v>
      </c>
      <c r="E3">
        <f>'CC23XX Power Computation Sheet'!G14</f>
        <v>0</v>
      </c>
      <c r="K3">
        <v>0</v>
      </c>
    </row>
    <row r="4" spans="1:13" x14ac:dyDescent="0.25">
      <c r="A4">
        <f>'CC23XX Power Computation Sheet'!C15</f>
        <v>0</v>
      </c>
      <c r="B4" t="str">
        <f>'CC23XX Power Computation Sheet'!D15</f>
        <v>State</v>
      </c>
      <c r="C4" t="str">
        <f>'CC23XX Power Computation Sheet'!E15</f>
        <v>Time(us)</v>
      </c>
      <c r="D4" t="str">
        <f>'CC23XX Power Computation Sheet'!F15</f>
        <v>Current (mA)</v>
      </c>
      <c r="E4" t="str">
        <f>'CC23XX Power Computation Sheet'!G15</f>
        <v>Time(us) * Current (mA)</v>
      </c>
      <c r="K4">
        <v>0</v>
      </c>
    </row>
    <row r="5" spans="1:13" x14ac:dyDescent="0.25">
      <c r="A5">
        <f>'CC23XX Power Computation Sheet'!C16</f>
        <v>1</v>
      </c>
      <c r="B5" t="str">
        <f>'CC23XX Power Computation Sheet'!D16</f>
        <v>Wake Up &amp; Pre-Processing</v>
      </c>
      <c r="C5">
        <f ca="1">'CC23XX Power Computation Sheet'!E16</f>
        <v>293</v>
      </c>
      <c r="D5">
        <f ca="1">'CC23XX Power Computation Sheet'!F16</f>
        <v>4.439834989761092</v>
      </c>
      <c r="E5">
        <f ca="1">'CC23XX Power Computation Sheet'!G16</f>
        <v>1300.871652</v>
      </c>
      <c r="H5">
        <f ca="1">C5</f>
        <v>293</v>
      </c>
      <c r="K5">
        <f ca="1">C5</f>
        <v>293</v>
      </c>
    </row>
    <row r="6" spans="1:13" x14ac:dyDescent="0.25">
      <c r="A6">
        <f>'CC23XX Power Computation Sheet'!C17</f>
        <v>2</v>
      </c>
      <c r="B6" t="str">
        <f>'CC23XX Power Computation Sheet'!D17</f>
        <v>Radio Preparation</v>
      </c>
      <c r="C6">
        <f ca="1">'CC23XX Power Computation Sheet'!E17</f>
        <v>116</v>
      </c>
      <c r="D6">
        <f ca="1">'CC23XX Power Computation Sheet'!F17</f>
        <v>5.1100000000000003</v>
      </c>
      <c r="E6">
        <f ca="1">'CC23XX Power Computation Sheet'!G17</f>
        <v>592.76</v>
      </c>
      <c r="H6">
        <f ca="1">H5+C6</f>
        <v>409</v>
      </c>
      <c r="K6">
        <f ca="1">C5</f>
        <v>293</v>
      </c>
    </row>
    <row r="7" spans="1:13" x14ac:dyDescent="0.25">
      <c r="A7">
        <f>'CC23XX Power Computation Sheet'!C18</f>
        <v>3</v>
      </c>
      <c r="B7" t="str">
        <f>'CC23XX Power Computation Sheet'!D18</f>
        <v>Transmit (TX)</v>
      </c>
      <c r="C7">
        <f ca="1">'CC23XX Power Computation Sheet'!E18</f>
        <v>168</v>
      </c>
      <c r="D7">
        <f ca="1">'CC23XX Power Computation Sheet'!F18</f>
        <v>10.52</v>
      </c>
      <c r="E7">
        <f ca="1">'CC23XX Power Computation Sheet'!G18</f>
        <v>1767.36</v>
      </c>
      <c r="H7">
        <f t="shared" ref="H7:H18" ca="1" si="0">H6+C7</f>
        <v>577</v>
      </c>
      <c r="K7">
        <f ca="1">K5+C6</f>
        <v>409</v>
      </c>
    </row>
    <row r="8" spans="1:13" x14ac:dyDescent="0.25">
      <c r="A8">
        <f>'CC23XX Power Computation Sheet'!C19</f>
        <v>4</v>
      </c>
      <c r="B8" t="str">
        <f>'CC23XX Power Computation Sheet'!D19</f>
        <v>TX to RX transition</v>
      </c>
      <c r="C8">
        <f ca="1">'CC23XX Power Computation Sheet'!E19</f>
        <v>151</v>
      </c>
      <c r="D8">
        <f ca="1">'CC23XX Power Computation Sheet'!F19</f>
        <v>4.8</v>
      </c>
      <c r="E8">
        <f ca="1">'CC23XX Power Computation Sheet'!G19</f>
        <v>724.8</v>
      </c>
      <c r="H8">
        <f t="shared" ca="1" si="0"/>
        <v>728</v>
      </c>
      <c r="K8">
        <f ca="1">K5+C6</f>
        <v>409</v>
      </c>
    </row>
    <row r="9" spans="1:13" x14ac:dyDescent="0.25">
      <c r="A9">
        <f>'CC23XX Power Computation Sheet'!C20</f>
        <v>5</v>
      </c>
      <c r="B9" t="str">
        <f>'CC23XX Power Computation Sheet'!D20</f>
        <v>Recieve (RX)</v>
      </c>
      <c r="C9">
        <f ca="1">'CC23XX Power Computation Sheet'!E20</f>
        <v>148</v>
      </c>
      <c r="D9">
        <f ca="1">'CC23XX Power Computation Sheet'!F20</f>
        <v>7.2389598468468472</v>
      </c>
      <c r="E9">
        <f ca="1">'CC23XX Power Computation Sheet'!G20</f>
        <v>1071.3660573333334</v>
      </c>
      <c r="H9">
        <f t="shared" ca="1" si="0"/>
        <v>876</v>
      </c>
      <c r="K9">
        <f ca="1">K7+C7</f>
        <v>577</v>
      </c>
    </row>
    <row r="10" spans="1:13" x14ac:dyDescent="0.25">
      <c r="A10">
        <f>'CC23XX Power Computation Sheet'!C21</f>
        <v>6</v>
      </c>
      <c r="B10" t="str">
        <f>'CC23XX Power Computation Sheet'!D21</f>
        <v>RX to TX transition</v>
      </c>
      <c r="C10">
        <f ca="1">'CC23XX Power Computation Sheet'!E21</f>
        <v>121</v>
      </c>
      <c r="D10">
        <f ca="1">'CC23XX Power Computation Sheet'!F21</f>
        <v>5.54</v>
      </c>
      <c r="E10">
        <f ca="1">'CC23XX Power Computation Sheet'!G21</f>
        <v>670.34</v>
      </c>
      <c r="H10">
        <f t="shared" ca="1" si="0"/>
        <v>997</v>
      </c>
      <c r="K10">
        <f ca="1">K7+C7</f>
        <v>577</v>
      </c>
    </row>
    <row r="11" spans="1:13" x14ac:dyDescent="0.25">
      <c r="A11">
        <f>'CC23XX Power Computation Sheet'!C22</f>
        <v>7</v>
      </c>
      <c r="B11" t="str">
        <f>'CC23XX Power Computation Sheet'!D22</f>
        <v>Transmit (TX)</v>
      </c>
      <c r="C11">
        <f ca="1">'CC23XX Power Computation Sheet'!E22</f>
        <v>168</v>
      </c>
      <c r="D11">
        <f ca="1">'CC23XX Power Computation Sheet'!F22</f>
        <v>10.6</v>
      </c>
      <c r="E11">
        <f ca="1">'CC23XX Power Computation Sheet'!G22</f>
        <v>1780.8</v>
      </c>
      <c r="H11">
        <f t="shared" ca="1" si="0"/>
        <v>1165</v>
      </c>
      <c r="K11">
        <f ca="1">K9+C8</f>
        <v>728</v>
      </c>
    </row>
    <row r="12" spans="1:13" x14ac:dyDescent="0.25">
      <c r="A12">
        <f>'CC23XX Power Computation Sheet'!C23</f>
        <v>8</v>
      </c>
      <c r="B12" t="str">
        <f>'CC23XX Power Computation Sheet'!D23</f>
        <v>TX to RX transition</v>
      </c>
      <c r="C12">
        <f ca="1">'CC23XX Power Computation Sheet'!E23</f>
        <v>150</v>
      </c>
      <c r="D12">
        <f ca="1">'CC23XX Power Computation Sheet'!F23</f>
        <v>4.72</v>
      </c>
      <c r="E12">
        <f ca="1">'CC23XX Power Computation Sheet'!G23</f>
        <v>708</v>
      </c>
      <c r="H12">
        <f t="shared" ca="1" si="0"/>
        <v>1315</v>
      </c>
      <c r="K12">
        <f ca="1">K9+C8</f>
        <v>728</v>
      </c>
    </row>
    <row r="13" spans="1:13" x14ac:dyDescent="0.25">
      <c r="A13">
        <f>'CC23XX Power Computation Sheet'!C24</f>
        <v>9</v>
      </c>
      <c r="B13" t="str">
        <f>'CC23XX Power Computation Sheet'!D24</f>
        <v>Recieve (RX)</v>
      </c>
      <c r="C13">
        <f ca="1">'CC23XX Power Computation Sheet'!E24</f>
        <v>146</v>
      </c>
      <c r="D13">
        <f ca="1">'CC23XX Power Computation Sheet'!F24</f>
        <v>7.2118333652968039</v>
      </c>
      <c r="E13">
        <f ca="1">'CC23XX Power Computation Sheet'!G24</f>
        <v>1052.9276713333334</v>
      </c>
      <c r="H13">
        <f t="shared" ca="1" si="0"/>
        <v>1461</v>
      </c>
      <c r="K13">
        <f ca="1">K11+C9</f>
        <v>876</v>
      </c>
    </row>
    <row r="14" spans="1:13" x14ac:dyDescent="0.25">
      <c r="A14">
        <f>'CC23XX Power Computation Sheet'!C25</f>
        <v>10</v>
      </c>
      <c r="B14" t="str">
        <f>'CC23XX Power Computation Sheet'!D25</f>
        <v>RX to TX transition</v>
      </c>
      <c r="C14">
        <f ca="1">'CC23XX Power Computation Sheet'!E25</f>
        <v>120</v>
      </c>
      <c r="D14">
        <f ca="1">'CC23XX Power Computation Sheet'!F25</f>
        <v>5.44</v>
      </c>
      <c r="E14">
        <f ca="1">'CC23XX Power Computation Sheet'!G25</f>
        <v>652.80000000000007</v>
      </c>
      <c r="H14">
        <f t="shared" ca="1" si="0"/>
        <v>1581</v>
      </c>
      <c r="K14">
        <f ca="1">K11+C9</f>
        <v>876</v>
      </c>
    </row>
    <row r="15" spans="1:13" x14ac:dyDescent="0.25">
      <c r="A15">
        <f>'CC23XX Power Computation Sheet'!C26</f>
        <v>11</v>
      </c>
      <c r="B15" t="str">
        <f>'CC23XX Power Computation Sheet'!D26</f>
        <v>Transmit (TX)</v>
      </c>
      <c r="C15">
        <f ca="1">'CC23XX Power Computation Sheet'!E26</f>
        <v>168</v>
      </c>
      <c r="D15">
        <f ca="1">'CC23XX Power Computation Sheet'!F26</f>
        <v>10.5</v>
      </c>
      <c r="E15">
        <f ca="1">'CC23XX Power Computation Sheet'!G26</f>
        <v>1764</v>
      </c>
      <c r="H15">
        <f t="shared" ca="1" si="0"/>
        <v>1749</v>
      </c>
      <c r="K15">
        <f ca="1">K13+C10</f>
        <v>997</v>
      </c>
    </row>
    <row r="16" spans="1:13" x14ac:dyDescent="0.25">
      <c r="A16">
        <f>'CC23XX Power Computation Sheet'!C27</f>
        <v>12</v>
      </c>
      <c r="B16" t="str">
        <f>'CC23XX Power Computation Sheet'!D27</f>
        <v>TX to RX transition</v>
      </c>
      <c r="C16">
        <f ca="1">'CC23XX Power Computation Sheet'!E27</f>
        <v>149</v>
      </c>
      <c r="D16">
        <f ca="1">'CC23XX Power Computation Sheet'!F27</f>
        <v>4.68</v>
      </c>
      <c r="E16">
        <f ca="1">'CC23XX Power Computation Sheet'!G27</f>
        <v>697.31999999999994</v>
      </c>
      <c r="H16">
        <f t="shared" ca="1" si="0"/>
        <v>1898</v>
      </c>
      <c r="K16">
        <f ca="1">K13+C10</f>
        <v>997</v>
      </c>
    </row>
    <row r="17" spans="1:11" x14ac:dyDescent="0.25">
      <c r="A17">
        <f>'CC23XX Power Computation Sheet'!C28</f>
        <v>13</v>
      </c>
      <c r="B17" t="str">
        <f>'CC23XX Power Computation Sheet'!D28</f>
        <v>Recieve (RX)</v>
      </c>
      <c r="C17">
        <f ca="1">'CC23XX Power Computation Sheet'!E28</f>
        <v>150</v>
      </c>
      <c r="D17">
        <f ca="1">'CC23XX Power Computation Sheet'!F28</f>
        <v>7.4900236103286373</v>
      </c>
      <c r="E17">
        <f ca="1">'CC23XX Power Computation Sheet'!G28</f>
        <v>1123.5035415492955</v>
      </c>
      <c r="H17">
        <f t="shared" ca="1" si="0"/>
        <v>2048</v>
      </c>
      <c r="K17">
        <f ca="1">K15+C11</f>
        <v>1165</v>
      </c>
    </row>
    <row r="18" spans="1:11" x14ac:dyDescent="0.25">
      <c r="A18">
        <f>'CC23XX Power Computation Sheet'!C29</f>
        <v>14</v>
      </c>
      <c r="B18" t="str">
        <f>'CC23XX Power Computation Sheet'!D29</f>
        <v>Post-Processing</v>
      </c>
      <c r="C18">
        <f ca="1">'CC23XX Power Computation Sheet'!E29</f>
        <v>232</v>
      </c>
      <c r="D18">
        <f ca="1">'CC23XX Power Computation Sheet'!F29</f>
        <v>5.1313532041379313</v>
      </c>
      <c r="E18">
        <f ca="1">'CC23XX Power Computation Sheet'!G29</f>
        <v>1190.47394336</v>
      </c>
      <c r="H18">
        <f t="shared" ca="1" si="0"/>
        <v>2280</v>
      </c>
      <c r="K18">
        <f ca="1">K15+C11</f>
        <v>1165</v>
      </c>
    </row>
    <row r="19" spans="1:11" x14ac:dyDescent="0.25">
      <c r="A19">
        <f>'CC23XX Power Computation Sheet'!C30</f>
        <v>15</v>
      </c>
      <c r="B19" t="str">
        <f>'CC23XX Power Computation Sheet'!D30</f>
        <v>Standby</v>
      </c>
      <c r="C19">
        <f>'CC23XX Power Computation Sheet'!E30</f>
        <v>0</v>
      </c>
      <c r="D19">
        <f>'CC23XX Power Computation Sheet'!F30</f>
        <v>0</v>
      </c>
      <c r="E19">
        <f>'CC23XX Power Computation Sheet'!G30</f>
        <v>0</v>
      </c>
      <c r="K19">
        <f ca="1">K17+C12</f>
        <v>1315</v>
      </c>
    </row>
    <row r="20" spans="1:11" x14ac:dyDescent="0.25">
      <c r="A20">
        <f>'CC23XX Power Computation Sheet'!C31</f>
        <v>0</v>
      </c>
      <c r="B20" t="str">
        <f>'CC23XX Power Computation Sheet'!D31</f>
        <v>Total Time (us)</v>
      </c>
      <c r="C20">
        <f ca="1">'CC23XX Power Computation Sheet'!E31</f>
        <v>2280</v>
      </c>
      <c r="D20">
        <f>'CC23XX Power Computation Sheet'!F31</f>
        <v>0</v>
      </c>
      <c r="E20">
        <f>'CC23XX Power Computation Sheet'!G31</f>
        <v>0</v>
      </c>
      <c r="K20">
        <f ca="1">K17+C12</f>
        <v>1315</v>
      </c>
    </row>
    <row r="21" spans="1:11" x14ac:dyDescent="0.25">
      <c r="A21">
        <f>'CC23XX Power Computation Sheet'!C32</f>
        <v>0</v>
      </c>
      <c r="B21" t="str">
        <f>'CC23XX Power Computation Sheet'!D32</f>
        <v>Average Current (mA)</v>
      </c>
      <c r="C21">
        <f ca="1">'CC23XX Power Computation Sheet'!E32</f>
        <v>6.6216328357789305</v>
      </c>
      <c r="D21">
        <f>'CC23XX Power Computation Sheet'!F32</f>
        <v>0</v>
      </c>
      <c r="E21">
        <f>'CC23XX Power Computation Sheet'!G32</f>
        <v>0</v>
      </c>
      <c r="K21">
        <f ca="1">K19+C13</f>
        <v>1461</v>
      </c>
    </row>
    <row r="22" spans="1:11" x14ac:dyDescent="0.25">
      <c r="A22">
        <f>'CC23XX Power Computation Sheet'!C33</f>
        <v>0</v>
      </c>
      <c r="B22">
        <f>'CC23XX Power Computation Sheet'!D33</f>
        <v>0</v>
      </c>
      <c r="C22">
        <f>'CC23XX Power Computation Sheet'!E33</f>
        <v>0</v>
      </c>
      <c r="D22" t="str">
        <f>'CC23XX Power Computation Sheet'!F33</f>
        <v xml:space="preserve">max </v>
      </c>
      <c r="E22" t="str">
        <f>'CC23XX Power Computation Sheet'!G33</f>
        <v>avg</v>
      </c>
      <c r="K22">
        <f ca="1">K19+C13</f>
        <v>1461</v>
      </c>
    </row>
    <row r="23" spans="1:11" x14ac:dyDescent="0.25">
      <c r="A23">
        <f>'CC23XX Power Computation Sheet'!C34</f>
        <v>0</v>
      </c>
      <c r="B23" t="str">
        <f>'CC23XX Power Computation Sheet'!D34</f>
        <v>Standby</v>
      </c>
      <c r="C23">
        <f>'CC23XX Power Computation Sheet'!E34</f>
        <v>98085</v>
      </c>
      <c r="D23">
        <f>'CC23XX Power Computation Sheet'!F34</f>
        <v>1.9E-2</v>
      </c>
      <c r="E23">
        <f>'CC23XX Power Computation Sheet'!G34</f>
        <v>0</v>
      </c>
      <c r="K23">
        <f ca="1">K21+C14</f>
        <v>1581</v>
      </c>
    </row>
    <row r="24" spans="1:11" x14ac:dyDescent="0.25">
      <c r="A24">
        <f>'CC23XX Power Computation Sheet'!C35</f>
        <v>0</v>
      </c>
      <c r="B24">
        <f>'CC23XX Power Computation Sheet'!D35</f>
        <v>0</v>
      </c>
      <c r="C24">
        <f>'CC23XX Power Computation Sheet'!E35</f>
        <v>0</v>
      </c>
      <c r="D24">
        <f>'CC23XX Power Computation Sheet'!F35</f>
        <v>-8.8500000000000004E-4</v>
      </c>
      <c r="E24">
        <f>'CC23XX Power Computation Sheet'!G35</f>
        <v>0</v>
      </c>
      <c r="K24">
        <f ca="1">K21+C14</f>
        <v>1581</v>
      </c>
    </row>
    <row r="25" spans="1:11" x14ac:dyDescent="0.25">
      <c r="K25">
        <f ca="1">K23+C15</f>
        <v>1749</v>
      </c>
    </row>
    <row r="26" spans="1:11" x14ac:dyDescent="0.25">
      <c r="K26">
        <f ca="1">K23+C15</f>
        <v>1749</v>
      </c>
    </row>
    <row r="27" spans="1:11" x14ac:dyDescent="0.25">
      <c r="K27">
        <f ca="1">K25+C16</f>
        <v>1898</v>
      </c>
    </row>
    <row r="28" spans="1:11" x14ac:dyDescent="0.25">
      <c r="K28">
        <f ca="1">K25+C16</f>
        <v>1898</v>
      </c>
    </row>
    <row r="29" spans="1:11" x14ac:dyDescent="0.25">
      <c r="K29">
        <f ca="1">K27+C17</f>
        <v>2048</v>
      </c>
    </row>
    <row r="30" spans="1:11" x14ac:dyDescent="0.25">
      <c r="K30">
        <f ca="1">K27+C17</f>
        <v>2048</v>
      </c>
    </row>
    <row r="31" spans="1:11" x14ac:dyDescent="0.25">
      <c r="K31">
        <f ca="1">K29+C18</f>
        <v>2280</v>
      </c>
    </row>
    <row r="32" spans="1:11" x14ac:dyDescent="0.25">
      <c r="K32">
        <f ca="1">K29+C18</f>
        <v>2280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6B706-313B-449F-9E1D-FC9223FFE257}">
  <dimension ref="B2:W74"/>
  <sheetViews>
    <sheetView showGridLines="0" tabSelected="1" zoomScale="70" zoomScaleNormal="70" workbookViewId="0">
      <selection activeCell="K46" sqref="K46"/>
    </sheetView>
  </sheetViews>
  <sheetFormatPr defaultRowHeight="15" x14ac:dyDescent="0.25"/>
  <cols>
    <col min="2" max="2" width="4.5703125" customWidth="1"/>
    <col min="3" max="3" width="46.5703125" customWidth="1"/>
    <col min="4" max="4" width="16" customWidth="1"/>
    <col min="7" max="7" width="9.140625" customWidth="1"/>
    <col min="10" max="10" width="9" customWidth="1"/>
    <col min="11" max="11" width="43.5703125" customWidth="1"/>
    <col min="12" max="12" width="14.5703125" customWidth="1"/>
    <col min="14" max="14" width="9.140625" customWidth="1"/>
    <col min="15" max="15" width="9.28515625" customWidth="1"/>
    <col min="19" max="19" width="43.85546875" customWidth="1"/>
    <col min="20" max="20" width="14.85546875" bestFit="1" customWidth="1"/>
    <col min="21" max="21" width="9.85546875" customWidth="1"/>
    <col min="22" max="22" width="10.28515625" customWidth="1"/>
  </cols>
  <sheetData>
    <row r="2" spans="2:21" ht="15.75" x14ac:dyDescent="0.25">
      <c r="B2" s="1" t="s">
        <v>0</v>
      </c>
    </row>
    <row r="3" spans="2:21" ht="15.75" x14ac:dyDescent="0.25">
      <c r="B3" s="24"/>
      <c r="C3" s="21" t="s">
        <v>17</v>
      </c>
      <c r="D3" s="88" t="s">
        <v>107</v>
      </c>
      <c r="G3" s="161" t="s">
        <v>11</v>
      </c>
      <c r="H3" s="162"/>
      <c r="I3" s="162"/>
      <c r="J3" s="162"/>
      <c r="K3" s="162"/>
      <c r="L3" s="163"/>
      <c r="P3" s="20" t="s">
        <v>14</v>
      </c>
      <c r="Q3" s="26" t="s">
        <v>117</v>
      </c>
      <c r="R3" s="21"/>
      <c r="S3" s="22"/>
      <c r="T3" s="28"/>
      <c r="U3" s="29"/>
    </row>
    <row r="4" spans="2:21" ht="15.75" x14ac:dyDescent="0.25">
      <c r="C4" s="2" t="s">
        <v>1</v>
      </c>
      <c r="D4" s="6" t="s">
        <v>188</v>
      </c>
      <c r="G4" s="17" t="s">
        <v>13</v>
      </c>
      <c r="H4" s="18"/>
      <c r="I4" s="18"/>
      <c r="J4" s="18"/>
      <c r="K4" s="18"/>
      <c r="L4" s="19"/>
      <c r="P4" s="20"/>
      <c r="Q4" s="30"/>
      <c r="R4" s="21"/>
      <c r="S4" s="28"/>
      <c r="T4" s="28"/>
      <c r="U4" s="29"/>
    </row>
    <row r="5" spans="2:21" ht="15.75" x14ac:dyDescent="0.25">
      <c r="C5" s="4" t="s">
        <v>9</v>
      </c>
      <c r="D5" s="154" t="s">
        <v>37</v>
      </c>
      <c r="G5" s="14" t="s">
        <v>235</v>
      </c>
      <c r="H5" s="15"/>
      <c r="I5" s="15"/>
      <c r="J5" s="15"/>
      <c r="K5" s="15"/>
      <c r="L5" s="16"/>
      <c r="P5" s="20" t="s">
        <v>15</v>
      </c>
      <c r="Q5" s="31">
        <v>2</v>
      </c>
      <c r="R5" s="21"/>
      <c r="S5" s="28"/>
      <c r="T5" s="28"/>
      <c r="U5" s="29"/>
    </row>
    <row r="6" spans="2:21" ht="15.75" x14ac:dyDescent="0.25">
      <c r="C6" s="4" t="s">
        <v>3</v>
      </c>
      <c r="D6" s="7">
        <v>2</v>
      </c>
      <c r="G6" s="11" t="s">
        <v>12</v>
      </c>
      <c r="H6" s="12"/>
      <c r="I6" s="12"/>
      <c r="J6" s="12"/>
      <c r="K6" s="12"/>
      <c r="L6" s="13"/>
      <c r="P6" s="20" t="s">
        <v>16</v>
      </c>
      <c r="Q6" s="27" t="s">
        <v>244</v>
      </c>
      <c r="R6" s="25"/>
      <c r="S6" s="12"/>
      <c r="T6" s="12"/>
      <c r="U6" s="13"/>
    </row>
    <row r="7" spans="2:21" ht="15.75" x14ac:dyDescent="0.25">
      <c r="C7" s="4" t="s">
        <v>4</v>
      </c>
      <c r="D7" s="8">
        <v>3000</v>
      </c>
    </row>
    <row r="8" spans="2:21" ht="15.75" x14ac:dyDescent="0.25">
      <c r="C8" s="4" t="s">
        <v>5</v>
      </c>
      <c r="D8" s="8">
        <v>6</v>
      </c>
    </row>
    <row r="9" spans="2:21" ht="15.75" x14ac:dyDescent="0.25">
      <c r="C9" s="4" t="s">
        <v>8</v>
      </c>
      <c r="D9" s="10">
        <v>0</v>
      </c>
      <c r="G9" s="164" t="s">
        <v>242</v>
      </c>
      <c r="H9" s="164"/>
      <c r="I9" s="164"/>
      <c r="J9" s="165"/>
      <c r="K9" s="37">
        <f ca="1">ROUNDUP('CC23XX Power Computation Sheet'!G9,5)</f>
        <v>2E-3</v>
      </c>
      <c r="L9" s="23" t="s">
        <v>88</v>
      </c>
    </row>
    <row r="10" spans="2:21" ht="15.75" x14ac:dyDescent="0.25">
      <c r="C10" s="4" t="s">
        <v>6</v>
      </c>
      <c r="D10" s="8">
        <v>2000</v>
      </c>
      <c r="G10" s="165" t="s">
        <v>210</v>
      </c>
      <c r="H10" s="166"/>
      <c r="I10" s="166"/>
      <c r="J10" s="166"/>
      <c r="K10" s="166"/>
      <c r="L10" s="29"/>
    </row>
    <row r="11" spans="2:21" ht="15.75" x14ac:dyDescent="0.25">
      <c r="C11" s="4" t="s">
        <v>7</v>
      </c>
      <c r="D11" s="10">
        <v>31</v>
      </c>
      <c r="G11" s="164" t="s">
        <v>243</v>
      </c>
      <c r="H11" s="164"/>
      <c r="I11" s="164"/>
      <c r="J11" s="165"/>
      <c r="K11" s="158">
        <f ca="1">ROUNDUP('CC23XX Power Computation Sheet'!N9,5)</f>
        <v>1.9599999999999999E-3</v>
      </c>
      <c r="L11" s="29" t="s">
        <v>88</v>
      </c>
    </row>
    <row r="12" spans="2:21" ht="15.75" x14ac:dyDescent="0.25">
      <c r="C12" s="3" t="s">
        <v>2</v>
      </c>
      <c r="D12" s="9">
        <v>225</v>
      </c>
    </row>
    <row r="13" spans="2:21" ht="15.75" x14ac:dyDescent="0.25">
      <c r="C13" s="32" t="s">
        <v>192</v>
      </c>
      <c r="D13" s="9">
        <v>100</v>
      </c>
    </row>
    <row r="14" spans="2:21" ht="15.75" x14ac:dyDescent="0.25">
      <c r="C14" s="32" t="s">
        <v>193</v>
      </c>
      <c r="D14" s="9">
        <v>20</v>
      </c>
    </row>
    <row r="17" spans="2:23" ht="15.75" x14ac:dyDescent="0.25">
      <c r="C17" s="33" t="s">
        <v>18</v>
      </c>
      <c r="D17" s="34"/>
      <c r="E17" s="35"/>
      <c r="F17" s="36"/>
      <c r="K17" s="67" t="s">
        <v>33</v>
      </c>
      <c r="S17" s="67" t="s">
        <v>245</v>
      </c>
    </row>
    <row r="18" spans="2:23" ht="15.75" x14ac:dyDescent="0.25">
      <c r="B18" s="37"/>
      <c r="C18" s="38" t="str">
        <f>CONCATENATE(D3, " Advertisement Legacy")</f>
        <v>CC2745R10 Advertisement Legacy</v>
      </c>
      <c r="D18" s="159"/>
      <c r="E18" s="159"/>
      <c r="F18" s="159"/>
      <c r="G18" s="22"/>
      <c r="H18" s="39"/>
      <c r="J18" s="37"/>
      <c r="K18" s="38" t="s">
        <v>194</v>
      </c>
      <c r="L18" s="159" t="str">
        <f>IF(K18='[1]Input arguments'!$B$7,"* PHY 1M is used for primary advertisement","")</f>
        <v/>
      </c>
      <c r="M18" s="159"/>
      <c r="N18" s="159"/>
      <c r="O18" s="23"/>
      <c r="R18" s="37"/>
      <c r="S18" s="38" t="s">
        <v>198</v>
      </c>
      <c r="T18" s="159" t="str">
        <f>IF(S18='[1]Input arguments'!$B$7,"* PHY 1M is used for primary advertisement","")</f>
        <v/>
      </c>
      <c r="U18" s="159"/>
      <c r="V18" s="159"/>
      <c r="W18" s="23"/>
    </row>
    <row r="19" spans="2:23" x14ac:dyDescent="0.25">
      <c r="B19" s="39"/>
      <c r="C19" s="40"/>
      <c r="D19" s="41"/>
      <c r="E19" s="36"/>
      <c r="F19" s="36"/>
      <c r="G19" s="24"/>
      <c r="J19" s="39"/>
      <c r="K19" s="40"/>
      <c r="L19" s="41"/>
      <c r="M19" s="36"/>
      <c r="N19" s="36"/>
      <c r="O19" s="24"/>
      <c r="R19" s="39"/>
      <c r="S19" s="40"/>
      <c r="T19" s="41"/>
      <c r="U19" s="36"/>
      <c r="V19" s="36"/>
      <c r="W19" s="24"/>
    </row>
    <row r="20" spans="2:23" ht="26.25" x14ac:dyDescent="0.25">
      <c r="B20" s="42"/>
      <c r="C20" s="43" t="s">
        <v>19</v>
      </c>
      <c r="D20" s="44" t="s">
        <v>20</v>
      </c>
      <c r="E20" s="45" t="s">
        <v>21</v>
      </c>
      <c r="F20" s="4" t="s">
        <v>22</v>
      </c>
      <c r="G20" s="46"/>
      <c r="J20" s="42"/>
      <c r="K20" s="43" t="s">
        <v>19</v>
      </c>
      <c r="L20" s="44" t="s">
        <v>34</v>
      </c>
      <c r="M20" s="45" t="s">
        <v>21</v>
      </c>
      <c r="N20" s="4" t="s">
        <v>22</v>
      </c>
      <c r="O20" s="46"/>
      <c r="R20" s="42"/>
      <c r="S20" s="43" t="s">
        <v>19</v>
      </c>
      <c r="T20" s="44" t="s">
        <v>34</v>
      </c>
      <c r="U20" s="45" t="s">
        <v>21</v>
      </c>
      <c r="V20" s="4" t="s">
        <v>22</v>
      </c>
      <c r="W20" s="46"/>
    </row>
    <row r="21" spans="2:23" x14ac:dyDescent="0.25">
      <c r="B21" s="39">
        <v>1</v>
      </c>
      <c r="C21" s="47" t="s">
        <v>23</v>
      </c>
      <c r="D21" s="104">
        <f ca="1">'CC23XX Power Computation Sheet'!E16</f>
        <v>293</v>
      </c>
      <c r="E21" s="104">
        <f ca="1">'CC23XX Power Computation Sheet'!F16</f>
        <v>4.439834989761092</v>
      </c>
      <c r="F21" s="105">
        <f ca="1">D21*E21</f>
        <v>1300.871652</v>
      </c>
      <c r="G21" s="24"/>
      <c r="J21" s="39">
        <v>1</v>
      </c>
      <c r="K21" s="32" t="s">
        <v>35</v>
      </c>
      <c r="L21" s="104">
        <f ca="1">'CC23XX Power Computation Sheet'!K16</f>
        <v>281</v>
      </c>
      <c r="M21" s="104">
        <f ca="1">'CC23XX Power Computation Sheet'!L16</f>
        <v>4.1899999999999995</v>
      </c>
      <c r="N21" s="105">
        <f ca="1">L21*M21</f>
        <v>1177.3899999999999</v>
      </c>
      <c r="O21" s="24"/>
      <c r="R21" s="39">
        <v>1</v>
      </c>
      <c r="S21" s="3" t="s">
        <v>35</v>
      </c>
      <c r="T21" s="104">
        <f ca="1">'CC23XX Power Computation Sheet'!R16</f>
        <v>415</v>
      </c>
      <c r="U21" s="151">
        <f ca="1">'CC23XX Power Computation Sheet'!S16</f>
        <v>4.2719983999999993</v>
      </c>
      <c r="V21" s="105">
        <f ca="1">T21*U21</f>
        <v>1772.8793359999997</v>
      </c>
      <c r="W21" s="24"/>
    </row>
    <row r="22" spans="2:23" x14ac:dyDescent="0.25">
      <c r="B22" s="39">
        <v>2</v>
      </c>
      <c r="C22" s="47" t="s">
        <v>24</v>
      </c>
      <c r="D22" s="104">
        <f ca="1">'CC23XX Power Computation Sheet'!E17</f>
        <v>116</v>
      </c>
      <c r="E22" s="104">
        <f ca="1">'CC23XX Power Computation Sheet'!F17</f>
        <v>5.1100000000000003</v>
      </c>
      <c r="F22" s="106">
        <f ca="1">D22*E22</f>
        <v>592.76</v>
      </c>
      <c r="G22" s="24"/>
      <c r="J22" s="39">
        <v>2</v>
      </c>
      <c r="K22" s="32" t="s">
        <v>36</v>
      </c>
      <c r="L22" s="104">
        <f ca="1">'CC23XX Power Computation Sheet'!K17</f>
        <v>138</v>
      </c>
      <c r="M22" s="104">
        <f ca="1">'CC23XX Power Computation Sheet'!L17</f>
        <v>4.42</v>
      </c>
      <c r="N22" s="106">
        <f ca="1">L22*M22</f>
        <v>609.96</v>
      </c>
      <c r="O22" s="24"/>
      <c r="R22" s="39">
        <v>2</v>
      </c>
      <c r="S22" s="3" t="s">
        <v>27</v>
      </c>
      <c r="T22" s="104">
        <f ca="1">'CC23XX Power Computation Sheet'!R17</f>
        <v>19916</v>
      </c>
      <c r="U22" s="151">
        <f ca="1">'CC23XX Power Computation Sheet'!S17</f>
        <v>7.5901892000000002</v>
      </c>
      <c r="V22" s="106">
        <f ca="1">T22*U22</f>
        <v>151166.20810720001</v>
      </c>
      <c r="W22" s="24"/>
    </row>
    <row r="23" spans="2:23" x14ac:dyDescent="0.25">
      <c r="B23" s="39">
        <v>3</v>
      </c>
      <c r="C23" s="47" t="s">
        <v>25</v>
      </c>
      <c r="D23" s="104">
        <f ca="1">'CC23XX Power Computation Sheet'!E18</f>
        <v>168</v>
      </c>
      <c r="E23" s="104">
        <f ca="1">'CC23XX Power Computation Sheet'!F18</f>
        <v>10.52</v>
      </c>
      <c r="F23" s="106">
        <f t="shared" ref="F23:F34" ca="1" si="0">D23*E23</f>
        <v>1767.36</v>
      </c>
      <c r="G23" s="24"/>
      <c r="J23" s="39">
        <v>3</v>
      </c>
      <c r="K23" s="32" t="s">
        <v>27</v>
      </c>
      <c r="L23" s="104">
        <f ca="1">'CC23XX Power Computation Sheet'!K18</f>
        <v>322</v>
      </c>
      <c r="M23" s="104">
        <f ca="1">'CC23XX Power Computation Sheet'!L18</f>
        <v>7.8599999999999994</v>
      </c>
      <c r="N23" s="106">
        <f t="shared" ref="N23:N26" ca="1" si="1">L23*M23</f>
        <v>2530.9199999999996</v>
      </c>
      <c r="O23" s="24"/>
      <c r="R23" s="39">
        <v>3</v>
      </c>
      <c r="S23" s="3" t="s">
        <v>29</v>
      </c>
      <c r="T23" s="104">
        <f ca="1">'CC23XX Power Computation Sheet'!R18</f>
        <v>224</v>
      </c>
      <c r="U23" s="151">
        <f ca="1">'CC23XX Power Computation Sheet'!S18</f>
        <v>5.7173834000000001</v>
      </c>
      <c r="V23" s="106">
        <f t="shared" ref="V23:V24" ca="1" si="2">T23*U23</f>
        <v>1280.6938815999999</v>
      </c>
      <c r="W23" s="24"/>
    </row>
    <row r="24" spans="2:23" x14ac:dyDescent="0.25">
      <c r="B24" s="39">
        <v>4</v>
      </c>
      <c r="C24" s="47" t="s">
        <v>91</v>
      </c>
      <c r="D24" s="104">
        <f ca="1">'CC23XX Power Computation Sheet'!E19</f>
        <v>151</v>
      </c>
      <c r="E24" s="104">
        <f ca="1">'CC23XX Power Computation Sheet'!F19</f>
        <v>4.8</v>
      </c>
      <c r="F24" s="106">
        <f t="shared" ca="1" si="0"/>
        <v>724.8</v>
      </c>
      <c r="G24" s="24"/>
      <c r="J24" s="39">
        <v>4</v>
      </c>
      <c r="K24" s="32" t="s">
        <v>28</v>
      </c>
      <c r="L24" s="104">
        <f ca="1">'CC23XX Power Computation Sheet'!K19</f>
        <v>143</v>
      </c>
      <c r="M24" s="104">
        <f ca="1">'CC23XX Power Computation Sheet'!L19</f>
        <v>5</v>
      </c>
      <c r="N24" s="106">
        <f t="shared" ca="1" si="1"/>
        <v>715</v>
      </c>
      <c r="O24" s="24"/>
      <c r="R24" s="39">
        <v>4</v>
      </c>
      <c r="S24" s="3" t="s">
        <v>60</v>
      </c>
      <c r="T24" s="104">
        <f ca="1">'CC23XX Power Computation Sheet'!R19</f>
        <v>79442</v>
      </c>
      <c r="U24" s="151">
        <f ca="1">'CC23XX Power Computation Sheet'!S19</f>
        <v>6.7540000000000005E-3</v>
      </c>
      <c r="V24" s="106">
        <f t="shared" ca="1" si="2"/>
        <v>536.55126800000005</v>
      </c>
      <c r="W24" s="24"/>
    </row>
    <row r="25" spans="2:23" x14ac:dyDescent="0.25">
      <c r="B25" s="39">
        <v>5</v>
      </c>
      <c r="C25" s="47" t="s">
        <v>27</v>
      </c>
      <c r="D25" s="104">
        <f ca="1">'CC23XX Power Computation Sheet'!E20</f>
        <v>148</v>
      </c>
      <c r="E25" s="104">
        <f ca="1">'CC23XX Power Computation Sheet'!F20</f>
        <v>7.2389598468468472</v>
      </c>
      <c r="F25" s="106">
        <f ca="1">D25*E25</f>
        <v>1071.3660573333334</v>
      </c>
      <c r="G25" s="24"/>
      <c r="J25" s="39">
        <v>5</v>
      </c>
      <c r="K25" s="32" t="s">
        <v>25</v>
      </c>
      <c r="L25" s="104">
        <f ca="1">'CC23XX Power Computation Sheet'!K20</f>
        <v>39</v>
      </c>
      <c r="M25" s="104">
        <f ca="1">'CC23XX Power Computation Sheet'!L20</f>
        <v>11.09</v>
      </c>
      <c r="N25" s="106">
        <f t="shared" ca="1" si="1"/>
        <v>432.51</v>
      </c>
      <c r="O25" s="24"/>
      <c r="R25" s="39">
        <v>5</v>
      </c>
      <c r="S25" s="51"/>
      <c r="T25" s="104"/>
      <c r="U25" s="104"/>
      <c r="V25" s="106"/>
      <c r="W25" s="24"/>
    </row>
    <row r="26" spans="2:23" x14ac:dyDescent="0.25">
      <c r="B26" s="39">
        <v>6</v>
      </c>
      <c r="C26" s="47" t="s">
        <v>92</v>
      </c>
      <c r="D26" s="104">
        <f ca="1">'CC23XX Power Computation Sheet'!E21</f>
        <v>121</v>
      </c>
      <c r="E26" s="104">
        <f ca="1">'CC23XX Power Computation Sheet'!F21</f>
        <v>5.54</v>
      </c>
      <c r="F26" s="106">
        <f t="shared" ca="1" si="0"/>
        <v>670.34</v>
      </c>
      <c r="G26" s="24"/>
      <c r="J26" s="39">
        <v>6</v>
      </c>
      <c r="K26" s="32" t="s">
        <v>29</v>
      </c>
      <c r="L26" s="104">
        <f ca="1">'CC23XX Power Computation Sheet'!K21</f>
        <v>305</v>
      </c>
      <c r="M26" s="104">
        <f ca="1">'CC23XX Power Computation Sheet'!L21</f>
        <v>5.8</v>
      </c>
      <c r="N26" s="106">
        <f t="shared" ca="1" si="1"/>
        <v>1769</v>
      </c>
      <c r="O26" s="24"/>
      <c r="R26" s="39">
        <v>6</v>
      </c>
      <c r="S26" s="51"/>
      <c r="T26" s="104"/>
      <c r="U26" s="104"/>
      <c r="V26" s="106"/>
      <c r="W26" s="24"/>
    </row>
    <row r="27" spans="2:23" x14ac:dyDescent="0.25">
      <c r="B27" s="39">
        <v>7</v>
      </c>
      <c r="C27" s="47" t="s">
        <v>25</v>
      </c>
      <c r="D27" s="104">
        <f ca="1">'CC23XX Power Computation Sheet'!E22</f>
        <v>168</v>
      </c>
      <c r="E27" s="104">
        <f ca="1">'CC23XX Power Computation Sheet'!F22</f>
        <v>10.6</v>
      </c>
      <c r="F27" s="106">
        <f t="shared" ca="1" si="0"/>
        <v>1780.8</v>
      </c>
      <c r="G27" s="24"/>
      <c r="J27" s="39">
        <v>7</v>
      </c>
      <c r="K27" s="51"/>
      <c r="L27" s="48"/>
      <c r="M27" s="48"/>
      <c r="N27" s="50"/>
      <c r="O27" s="24"/>
      <c r="R27" s="39">
        <v>7</v>
      </c>
      <c r="S27" s="51"/>
      <c r="T27" s="48"/>
      <c r="U27" s="48"/>
      <c r="V27" s="50"/>
      <c r="W27" s="24"/>
    </row>
    <row r="28" spans="2:23" x14ac:dyDescent="0.25">
      <c r="B28" s="39">
        <v>8</v>
      </c>
      <c r="C28" s="47" t="s">
        <v>91</v>
      </c>
      <c r="D28" s="104">
        <f ca="1">'CC23XX Power Computation Sheet'!E23</f>
        <v>150</v>
      </c>
      <c r="E28" s="104">
        <f ca="1">'CC23XX Power Computation Sheet'!F23</f>
        <v>4.72</v>
      </c>
      <c r="F28" s="106">
        <f t="shared" ca="1" si="0"/>
        <v>708</v>
      </c>
      <c r="G28" s="24"/>
      <c r="J28" s="39">
        <v>8</v>
      </c>
      <c r="K28" s="51"/>
      <c r="L28" s="48"/>
      <c r="M28" s="48"/>
      <c r="N28" s="50"/>
      <c r="O28" s="24"/>
      <c r="R28" s="39">
        <v>8</v>
      </c>
      <c r="S28" s="51"/>
      <c r="T28" s="48"/>
      <c r="U28" s="48"/>
      <c r="V28" s="50"/>
      <c r="W28" s="24"/>
    </row>
    <row r="29" spans="2:23" x14ac:dyDescent="0.25">
      <c r="B29" s="39">
        <v>9</v>
      </c>
      <c r="C29" s="47" t="s">
        <v>27</v>
      </c>
      <c r="D29" s="104">
        <f ca="1">'CC23XX Power Computation Sheet'!E24</f>
        <v>146</v>
      </c>
      <c r="E29" s="104">
        <f ca="1">'CC23XX Power Computation Sheet'!F24</f>
        <v>7.2118333652968039</v>
      </c>
      <c r="F29" s="106">
        <f t="shared" ca="1" si="0"/>
        <v>1052.9276713333334</v>
      </c>
      <c r="G29" s="24"/>
      <c r="J29" s="39">
        <v>9</v>
      </c>
      <c r="K29" s="51"/>
      <c r="L29" s="48"/>
      <c r="M29" s="48"/>
      <c r="N29" s="50"/>
      <c r="O29" s="24"/>
      <c r="R29" s="39">
        <v>9</v>
      </c>
      <c r="S29" s="51"/>
      <c r="T29" s="48"/>
      <c r="U29" s="48"/>
      <c r="V29" s="50"/>
      <c r="W29" s="24"/>
    </row>
    <row r="30" spans="2:23" x14ac:dyDescent="0.25">
      <c r="B30" s="39">
        <v>10</v>
      </c>
      <c r="C30" s="47" t="s">
        <v>92</v>
      </c>
      <c r="D30" s="104">
        <f ca="1">'CC23XX Power Computation Sheet'!E25</f>
        <v>120</v>
      </c>
      <c r="E30" s="104">
        <f ca="1">'CC23XX Power Computation Sheet'!F25</f>
        <v>5.44</v>
      </c>
      <c r="F30" s="106">
        <f t="shared" ca="1" si="0"/>
        <v>652.80000000000007</v>
      </c>
      <c r="G30" s="24"/>
      <c r="J30" s="39">
        <v>10</v>
      </c>
      <c r="K30" s="51"/>
      <c r="L30" s="48"/>
      <c r="M30" s="48"/>
      <c r="N30" s="50"/>
      <c r="O30" s="24"/>
      <c r="R30" s="39">
        <v>10</v>
      </c>
      <c r="S30" s="51"/>
      <c r="T30" s="48"/>
      <c r="U30" s="48"/>
      <c r="V30" s="50"/>
      <c r="W30" s="24"/>
    </row>
    <row r="31" spans="2:23" x14ac:dyDescent="0.25">
      <c r="B31" s="39">
        <v>11</v>
      </c>
      <c r="C31" s="47" t="s">
        <v>25</v>
      </c>
      <c r="D31" s="104">
        <f ca="1">'CC23XX Power Computation Sheet'!E26</f>
        <v>168</v>
      </c>
      <c r="E31" s="104">
        <f ca="1">'CC23XX Power Computation Sheet'!F26</f>
        <v>10.5</v>
      </c>
      <c r="F31" s="106">
        <f t="shared" ca="1" si="0"/>
        <v>1764</v>
      </c>
      <c r="G31" s="24"/>
      <c r="J31" s="39">
        <v>11</v>
      </c>
      <c r="K31" s="51"/>
      <c r="L31" s="48"/>
      <c r="M31" s="48"/>
      <c r="N31" s="50"/>
      <c r="O31" s="24"/>
      <c r="R31" s="39">
        <v>11</v>
      </c>
      <c r="S31" s="51"/>
      <c r="T31" s="48"/>
      <c r="U31" s="48"/>
      <c r="V31" s="50"/>
      <c r="W31" s="24"/>
    </row>
    <row r="32" spans="2:23" x14ac:dyDescent="0.25">
      <c r="B32" s="39">
        <v>12</v>
      </c>
      <c r="C32" s="47" t="s">
        <v>91</v>
      </c>
      <c r="D32" s="104">
        <f ca="1">'CC23XX Power Computation Sheet'!E27</f>
        <v>149</v>
      </c>
      <c r="E32" s="104">
        <f ca="1">'CC23XX Power Computation Sheet'!F27</f>
        <v>4.68</v>
      </c>
      <c r="F32" s="106">
        <f t="shared" ca="1" si="0"/>
        <v>697.31999999999994</v>
      </c>
      <c r="G32" s="24"/>
      <c r="J32" s="39">
        <v>12</v>
      </c>
      <c r="K32" s="51"/>
      <c r="L32" s="48"/>
      <c r="M32" s="48"/>
      <c r="N32" s="50"/>
      <c r="O32" s="24"/>
      <c r="R32" s="39">
        <v>12</v>
      </c>
      <c r="S32" s="51"/>
      <c r="T32" s="48"/>
      <c r="U32" s="48"/>
      <c r="V32" s="50"/>
      <c r="W32" s="24"/>
    </row>
    <row r="33" spans="2:23" x14ac:dyDescent="0.25">
      <c r="B33" s="39">
        <v>13</v>
      </c>
      <c r="C33" s="47" t="s">
        <v>27</v>
      </c>
      <c r="D33" s="104">
        <f ca="1">'CC23XX Power Computation Sheet'!E28</f>
        <v>150</v>
      </c>
      <c r="E33" s="104">
        <f ca="1">'CC23XX Power Computation Sheet'!F28</f>
        <v>7.4900236103286373</v>
      </c>
      <c r="F33" s="106">
        <f t="shared" ca="1" si="0"/>
        <v>1123.5035415492955</v>
      </c>
      <c r="G33" s="24"/>
      <c r="J33" s="39">
        <v>13</v>
      </c>
      <c r="K33" s="51"/>
      <c r="L33" s="48"/>
      <c r="M33" s="48"/>
      <c r="N33" s="50"/>
      <c r="O33" s="24"/>
      <c r="R33" s="39">
        <v>13</v>
      </c>
      <c r="S33" s="51"/>
      <c r="T33" s="48"/>
      <c r="U33" s="48"/>
      <c r="V33" s="50"/>
      <c r="W33" s="24"/>
    </row>
    <row r="34" spans="2:23" x14ac:dyDescent="0.25">
      <c r="B34" s="39">
        <v>14</v>
      </c>
      <c r="C34" s="47" t="s">
        <v>29</v>
      </c>
      <c r="D34" s="104">
        <f ca="1">'CC23XX Power Computation Sheet'!E29</f>
        <v>232</v>
      </c>
      <c r="E34" s="104">
        <f ca="1">'CC23XX Power Computation Sheet'!F29</f>
        <v>5.1313532041379313</v>
      </c>
      <c r="F34" s="106">
        <f t="shared" ca="1" si="0"/>
        <v>1190.47394336</v>
      </c>
      <c r="G34" s="24"/>
      <c r="J34" s="39">
        <v>14</v>
      </c>
      <c r="K34" s="51"/>
      <c r="L34" s="48"/>
      <c r="M34" s="48"/>
      <c r="N34" s="50"/>
      <c r="O34" s="24"/>
      <c r="R34" s="39">
        <v>14</v>
      </c>
      <c r="S34" s="51"/>
      <c r="T34" s="48"/>
      <c r="U34" s="48"/>
      <c r="V34" s="50"/>
      <c r="W34" s="24"/>
    </row>
    <row r="35" spans="2:23" x14ac:dyDescent="0.25">
      <c r="B35" s="39">
        <v>15</v>
      </c>
      <c r="C35" s="51"/>
      <c r="D35" s="48"/>
      <c r="E35" s="48"/>
      <c r="F35" s="50"/>
      <c r="G35" s="24"/>
      <c r="J35" s="39">
        <v>15</v>
      </c>
      <c r="K35" s="51"/>
      <c r="L35" s="48"/>
      <c r="M35" s="48"/>
      <c r="N35" s="50"/>
      <c r="O35" s="68"/>
      <c r="R35" s="39">
        <v>15</v>
      </c>
      <c r="S35" s="51"/>
      <c r="T35" s="48"/>
      <c r="U35" s="48"/>
      <c r="V35" s="50"/>
      <c r="W35" s="68"/>
    </row>
    <row r="36" spans="2:23" x14ac:dyDescent="0.25">
      <c r="B36" s="39">
        <v>16</v>
      </c>
      <c r="C36" s="51"/>
      <c r="D36" s="48"/>
      <c r="E36" s="48"/>
      <c r="F36" s="50"/>
      <c r="G36" s="24"/>
      <c r="J36" s="39">
        <v>16</v>
      </c>
      <c r="K36" s="51"/>
      <c r="L36" s="48"/>
      <c r="M36" s="48"/>
      <c r="N36" s="50"/>
      <c r="O36" s="68"/>
      <c r="R36" s="39">
        <v>16</v>
      </c>
      <c r="S36" s="51"/>
      <c r="T36" s="48"/>
      <c r="U36" s="48"/>
      <c r="V36" s="50"/>
      <c r="W36" s="68"/>
    </row>
    <row r="37" spans="2:23" ht="15" customHeight="1" x14ac:dyDescent="0.25">
      <c r="B37" s="39"/>
      <c r="C37" s="52" t="s">
        <v>71</v>
      </c>
      <c r="D37" s="53">
        <f ca="1">SUM(D21:D34)</f>
        <v>2280</v>
      </c>
      <c r="E37" s="54"/>
      <c r="F37" s="23"/>
      <c r="G37" s="24"/>
      <c r="J37" s="39"/>
      <c r="K37" s="52" t="s">
        <v>71</v>
      </c>
      <c r="L37" s="107">
        <f ca="1">SUM(L21:L26)</f>
        <v>1228</v>
      </c>
      <c r="M37" s="108"/>
      <c r="N37" s="109"/>
      <c r="O37" s="68"/>
      <c r="R37" s="39"/>
      <c r="S37" s="52" t="s">
        <v>195</v>
      </c>
      <c r="T37" s="107">
        <f ca="1">SUM(T21:T23)</f>
        <v>20555</v>
      </c>
      <c r="U37" s="108"/>
      <c r="V37" s="109"/>
      <c r="W37" s="68"/>
    </row>
    <row r="38" spans="2:23" ht="15" customHeight="1" x14ac:dyDescent="0.25">
      <c r="B38" s="39"/>
      <c r="C38" s="55" t="s">
        <v>72</v>
      </c>
      <c r="D38" s="56"/>
      <c r="E38" s="57"/>
      <c r="F38" s="58">
        <f ca="1">SUM(F21:F34)</f>
        <v>15097.322865575961</v>
      </c>
      <c r="G38" s="24"/>
      <c r="J38" s="39"/>
      <c r="K38" s="55" t="s">
        <v>72</v>
      </c>
      <c r="L38" s="110"/>
      <c r="M38" s="111"/>
      <c r="N38" s="112">
        <f ca="1">SUM(N21:N26)</f>
        <v>7234.78</v>
      </c>
      <c r="O38" s="24"/>
      <c r="R38" s="39"/>
      <c r="S38" s="55" t="s">
        <v>72</v>
      </c>
      <c r="T38" s="110"/>
      <c r="U38" s="111"/>
      <c r="V38" s="112">
        <f ca="1">SUM(V21:V23)</f>
        <v>154219.78132480002</v>
      </c>
      <c r="W38" s="24"/>
    </row>
    <row r="39" spans="2:23" ht="15" customHeight="1" x14ac:dyDescent="0.25">
      <c r="B39" s="39"/>
      <c r="C39" s="59" t="s">
        <v>73</v>
      </c>
      <c r="D39" s="60"/>
      <c r="E39" s="12"/>
      <c r="F39" s="61">
        <f ca="1">(F38/D37)*1000</f>
        <v>6621.6328357789307</v>
      </c>
      <c r="G39" s="24"/>
      <c r="J39" s="39"/>
      <c r="K39" s="59" t="s">
        <v>73</v>
      </c>
      <c r="L39" s="113"/>
      <c r="M39" s="114"/>
      <c r="N39" s="115">
        <f ca="1">(N38/L37)*1000</f>
        <v>5891.5146579804559</v>
      </c>
      <c r="O39" s="24"/>
      <c r="R39" s="39"/>
      <c r="S39" s="59" t="s">
        <v>196</v>
      </c>
      <c r="T39" s="113"/>
      <c r="U39" s="114"/>
      <c r="V39" s="115">
        <f ca="1">(V38/T37)*1000</f>
        <v>7502.7867343614698</v>
      </c>
      <c r="W39" s="24"/>
    </row>
    <row r="40" spans="2:23" x14ac:dyDescent="0.25">
      <c r="B40" s="39"/>
      <c r="C40" s="40"/>
      <c r="G40" s="24"/>
      <c r="J40" s="39"/>
      <c r="K40" s="40"/>
      <c r="O40" s="24"/>
      <c r="R40" s="39"/>
      <c r="S40" s="40"/>
      <c r="W40" s="24"/>
    </row>
    <row r="41" spans="2:23" ht="15" customHeight="1" x14ac:dyDescent="0.25">
      <c r="B41" s="39"/>
      <c r="C41" s="5" t="s">
        <v>86</v>
      </c>
      <c r="D41" s="62">
        <f ca="1">((F39*D37)+(K9*1000*'CC23XX Power Computation Sheet'!F9))/(D7*1000)</f>
        <v>7.031527621858654</v>
      </c>
      <c r="E41" s="63" t="s">
        <v>30</v>
      </c>
      <c r="G41" s="24"/>
      <c r="J41" s="39"/>
      <c r="K41" s="5" t="s">
        <v>86</v>
      </c>
      <c r="L41" s="62">
        <f ca="1">((N39*L37) + ('CC23XX Power Computation Sheet'!N9*1000*'CC23XX Power Computation Sheet'!M9))/(D10*1000)</f>
        <v>5.5698373999999999</v>
      </c>
      <c r="M41" s="63" t="s">
        <v>30</v>
      </c>
      <c r="O41" s="24"/>
      <c r="R41" s="39"/>
      <c r="S41" s="5" t="s">
        <v>197</v>
      </c>
      <c r="T41" s="62">
        <f ca="1">((V39*T37) + (T24*U24))/(D13*1000)</f>
        <v>1542.2031787606802</v>
      </c>
      <c r="U41" s="63" t="s">
        <v>30</v>
      </c>
      <c r="W41" s="24"/>
    </row>
    <row r="42" spans="2:23" ht="15" customHeight="1" x14ac:dyDescent="0.25">
      <c r="B42" s="39"/>
      <c r="C42" s="5" t="s">
        <v>87</v>
      </c>
      <c r="D42" s="64">
        <f ca="1">D12/(D41/1000)</f>
        <v>31998.736561959977</v>
      </c>
      <c r="E42" s="65" t="s">
        <v>31</v>
      </c>
      <c r="G42" s="24"/>
      <c r="J42" s="39"/>
      <c r="K42" s="5" t="s">
        <v>87</v>
      </c>
      <c r="L42" s="64">
        <f ca="1">D12/(L41/1000)</f>
        <v>40396.152318557804</v>
      </c>
      <c r="M42" s="65" t="s">
        <v>31</v>
      </c>
      <c r="O42" s="24"/>
      <c r="R42" s="39"/>
      <c r="S42" s="5" t="s">
        <v>87</v>
      </c>
      <c r="T42" s="64">
        <f ca="1">D12/(T41/1000)</f>
        <v>145.89517328113067</v>
      </c>
      <c r="U42" s="65" t="s">
        <v>31</v>
      </c>
      <c r="W42" s="24"/>
    </row>
    <row r="43" spans="2:23" ht="15" customHeight="1" x14ac:dyDescent="0.25">
      <c r="B43" s="39"/>
      <c r="C43" s="5" t="s">
        <v>87</v>
      </c>
      <c r="D43" s="66">
        <f ca="1">D42/24</f>
        <v>1333.2806900816656</v>
      </c>
      <c r="E43" s="63" t="s">
        <v>32</v>
      </c>
      <c r="G43" s="24"/>
      <c r="J43" s="39"/>
      <c r="K43" s="5" t="s">
        <v>87</v>
      </c>
      <c r="L43" s="66">
        <f ca="1">L42/24</f>
        <v>1683.1730132732418</v>
      </c>
      <c r="M43" s="63" t="s">
        <v>32</v>
      </c>
      <c r="O43" s="24"/>
      <c r="R43" s="39"/>
      <c r="S43" s="5" t="s">
        <v>87</v>
      </c>
      <c r="T43" s="66">
        <f ca="1">T42/24</f>
        <v>6.0789655533804448</v>
      </c>
      <c r="U43" s="63" t="s">
        <v>32</v>
      </c>
      <c r="W43" s="24"/>
    </row>
    <row r="44" spans="2:23" x14ac:dyDescent="0.25">
      <c r="B44" s="11"/>
      <c r="C44" s="12"/>
      <c r="D44" s="12"/>
      <c r="E44" s="12"/>
      <c r="F44" s="12"/>
      <c r="G44" s="13"/>
      <c r="J44" s="11"/>
      <c r="K44" s="69"/>
      <c r="L44" s="28"/>
      <c r="M44" s="12"/>
      <c r="N44" s="12"/>
      <c r="O44" s="13"/>
      <c r="R44" s="11"/>
      <c r="S44" s="69"/>
      <c r="T44" s="28"/>
      <c r="U44" s="12"/>
      <c r="V44" s="12"/>
      <c r="W44" s="13"/>
    </row>
    <row r="47" spans="2:23" ht="15.75" customHeight="1" x14ac:dyDescent="0.25">
      <c r="C47" s="160" t="s">
        <v>108</v>
      </c>
      <c r="D47" s="160"/>
      <c r="E47" s="160"/>
      <c r="F47" s="160"/>
      <c r="K47" s="160" t="str">
        <f>"Power Consumption profile"&amp;" " &amp; K18</f>
        <v>Power Consumption profile Connected as Peripheral</v>
      </c>
      <c r="L47" s="160"/>
      <c r="M47" s="160"/>
      <c r="N47" s="160"/>
      <c r="S47" s="152" t="str">
        <f>"Power Consumption profile"&amp;" " &amp; S18</f>
        <v xml:space="preserve">Power Consumption profile Scanning as Central </v>
      </c>
    </row>
    <row r="56" spans="3:3" x14ac:dyDescent="0.25">
      <c r="C56" s="40"/>
    </row>
    <row r="57" spans="3:3" x14ac:dyDescent="0.25">
      <c r="C57" s="40"/>
    </row>
    <row r="58" spans="3:3" x14ac:dyDescent="0.25">
      <c r="C58" s="40"/>
    </row>
    <row r="59" spans="3:3" x14ac:dyDescent="0.25">
      <c r="C59" s="40"/>
    </row>
    <row r="60" spans="3:3" x14ac:dyDescent="0.25">
      <c r="C60" s="40"/>
    </row>
    <row r="61" spans="3:3" x14ac:dyDescent="0.25">
      <c r="C61" s="40"/>
    </row>
    <row r="62" spans="3:3" x14ac:dyDescent="0.25">
      <c r="C62" s="40"/>
    </row>
    <row r="63" spans="3:3" x14ac:dyDescent="0.25">
      <c r="C63" s="40"/>
    </row>
    <row r="64" spans="3:3" x14ac:dyDescent="0.25">
      <c r="C64" s="40"/>
    </row>
    <row r="65" spans="3:3" x14ac:dyDescent="0.25">
      <c r="C65" s="40"/>
    </row>
    <row r="66" spans="3:3" x14ac:dyDescent="0.25">
      <c r="C66" s="40"/>
    </row>
    <row r="67" spans="3:3" x14ac:dyDescent="0.25">
      <c r="C67" s="40"/>
    </row>
    <row r="68" spans="3:3" x14ac:dyDescent="0.25">
      <c r="C68" s="40"/>
    </row>
    <row r="69" spans="3:3" x14ac:dyDescent="0.25">
      <c r="C69" s="40"/>
    </row>
    <row r="70" spans="3:3" x14ac:dyDescent="0.25">
      <c r="C70" s="40"/>
    </row>
    <row r="71" spans="3:3" x14ac:dyDescent="0.25">
      <c r="C71" s="40"/>
    </row>
    <row r="72" spans="3:3" x14ac:dyDescent="0.25">
      <c r="C72" s="40"/>
    </row>
    <row r="73" spans="3:3" x14ac:dyDescent="0.25">
      <c r="C73" s="40"/>
    </row>
    <row r="74" spans="3:3" x14ac:dyDescent="0.25">
      <c r="C74" s="40"/>
    </row>
  </sheetData>
  <mergeCells count="9">
    <mergeCell ref="T18:V18"/>
    <mergeCell ref="C47:F47"/>
    <mergeCell ref="K47:N47"/>
    <mergeCell ref="G3:L3"/>
    <mergeCell ref="D18:F18"/>
    <mergeCell ref="L18:N18"/>
    <mergeCell ref="G9:J9"/>
    <mergeCell ref="G10:K10"/>
    <mergeCell ref="G11:J11"/>
  </mergeCells>
  <dataValidations count="10">
    <dataValidation type="list" allowBlank="1" showInputMessage="1" showErrorMessage="1" sqref="D6" xr:uid="{ED906605-B1A4-4CC2-BE60-B7BF607FC64D}">
      <formula1>"0, 1, 2, 3, 4, 5, 6, 7, 8, 9, 10"</formula1>
    </dataValidation>
    <dataValidation type="whole" operator="greaterThan" showInputMessage="1" showErrorMessage="1" error="Invalid battery capacity!" prompt="Battery capacity in mAh_x000a__x000a_Typical Battery Capacities (mAh)_x000a_CR2032: 225_x000a_AAA: 1200_x000a_AA: 2700_x000a_" sqref="D12" xr:uid="{BE4C16F0-49D6-47A1-A81C-A13CB9C6E0E6}">
      <formula1>0</formula1>
    </dataValidation>
    <dataValidation type="decimal" errorStyle="warning" allowBlank="1" showInputMessage="1" showErrorMessage="1" error="The scan response data length shall be in the range of 2 to 31 bytes." prompt="The scan response data length shall be in the range of 2 to 31 bytes." sqref="D9" xr:uid="{D6BF524E-BC60-4D5E-A881-D2D0828CA29C}">
      <formula1>2</formula1>
      <formula2>31</formula2>
    </dataValidation>
    <dataValidation type="decimal" errorStyle="warning" showInputMessage="1" showErrorMessage="1" error="The connection interval shall be in the range of 7.5 ms to 4 s." prompt="The connection interval shall be in the range of 7.5 ms to 4 s." sqref="D10" xr:uid="{6B76A54B-A350-4EF6-B866-5D55A42796DD}">
      <formula1>7.5</formula1>
      <formula2>4000</formula2>
    </dataValidation>
    <dataValidation type="decimal" errorStyle="warning" allowBlank="1" showInputMessage="1" showErrorMessage="1" error="The advertising data length for legacy advertising shall be in the range of 2 to 31 bytes." prompt="The advertising data length for legacy advertising shall be in the range of 2 to 31 bytes." sqref="D8:D9" xr:uid="{319A621C-6DA1-469E-BCDC-CCC093D2D5D7}">
      <formula1>0</formula1>
      <formula2>31</formula2>
    </dataValidation>
    <dataValidation type="list" allowBlank="1" showInputMessage="1" showErrorMessage="1" sqref="D4" xr:uid="{02E1FBD8-DF5A-4ADA-84BE-66B26D8853D2}">
      <formula1>"3.0V, 3.3V"</formula1>
    </dataValidation>
    <dataValidation type="decimal" errorStyle="warning" allowBlank="1" showInputMessage="1" showErrorMessage="1" error="The connection  data length shall be in the range of 0 to 251 bytes." prompt="The connection  data length shall be in the range of 0 to 251 bytes." sqref="D11" xr:uid="{A8A240D4-5037-4AD4-850C-1C8E9F7E6E42}">
      <formula1>0</formula1>
      <formula2>251</formula2>
    </dataValidation>
    <dataValidation type="list" allowBlank="1" showInputMessage="1" showErrorMessage="1" sqref="D5" xr:uid="{5C660242-55A9-40F7-9D83-135FEC8B3B2A}">
      <formula1>"GLDO, DCDC"</formula1>
    </dataValidation>
    <dataValidation type="decimal" errorStyle="warning" showInputMessage="1" showErrorMessage="1" error="The connection interval shall be in the range of 7.5 ms to 4 s." prompt="The connection interval shall be in the range of 7.5 ms to 4 s." sqref="D7" xr:uid="{E41CE4BA-ACA2-45C2-BDD5-F3FB7786B96C}">
      <formula1>8</formula1>
      <formula2>4000</formula2>
    </dataValidation>
    <dataValidation type="list" allowBlank="1" showInputMessage="1" showErrorMessage="1" sqref="D3" xr:uid="{AE0AED6B-880E-4D8B-95C8-92E32EED9AB7}">
      <formula1>"CC2340R5, CC2745R10"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E5D72-774B-4447-9043-F493117AEDD1}">
  <dimension ref="A1:T35"/>
  <sheetViews>
    <sheetView showGridLines="0" topLeftCell="C1" workbookViewId="0">
      <selection activeCell="K8" sqref="K8"/>
    </sheetView>
  </sheetViews>
  <sheetFormatPr defaultRowHeight="15" x14ac:dyDescent="0.25"/>
  <cols>
    <col min="1" max="1" width="29.85546875" customWidth="1"/>
    <col min="2" max="2" width="23.85546875" customWidth="1"/>
    <col min="3" max="3" width="27" customWidth="1"/>
    <col min="4" max="4" width="34.7109375" customWidth="1"/>
    <col min="5" max="5" width="13.28515625" customWidth="1"/>
    <col min="6" max="6" width="11.5703125" bestFit="1" customWidth="1"/>
    <col min="10" max="10" width="28" customWidth="1"/>
    <col min="11" max="11" width="10.85546875" customWidth="1"/>
    <col min="13" max="13" width="10.85546875" customWidth="1"/>
    <col min="17" max="17" width="25.5703125" bestFit="1" customWidth="1"/>
  </cols>
  <sheetData>
    <row r="1" spans="1:20" x14ac:dyDescent="0.25">
      <c r="A1" t="s">
        <v>17</v>
      </c>
      <c r="B1" s="57" t="str">
        <f>BLE!D3</f>
        <v>CC2745R10</v>
      </c>
    </row>
    <row r="2" spans="1:20" x14ac:dyDescent="0.25">
      <c r="A2" t="s">
        <v>1</v>
      </c>
      <c r="B2" s="57" t="str">
        <f>BLE!D4</f>
        <v>3.0V</v>
      </c>
    </row>
    <row r="3" spans="1:20" x14ac:dyDescent="0.25">
      <c r="A3" t="s">
        <v>58</v>
      </c>
      <c r="B3" s="57" t="str">
        <f>CONCATENATE(BLE!D3, " ",BLE!D5)</f>
        <v>CC2745R10 DCDC</v>
      </c>
      <c r="C3" s="57" t="str">
        <f>CONCATENATE(BLE!D3, " Peripheral Con ",BLE!D5)</f>
        <v>CC2745R10 Peripheral Con DCDC</v>
      </c>
      <c r="D3" t="str">
        <f>CONCATENATE(BLE!D3, " Central scan ",BLE!D5)</f>
        <v>CC2745R10 Central scan DCDC</v>
      </c>
    </row>
    <row r="4" spans="1:20" x14ac:dyDescent="0.25">
      <c r="A4" t="s">
        <v>3</v>
      </c>
      <c r="B4" s="57">
        <f>BLE!D6</f>
        <v>2</v>
      </c>
      <c r="D4" s="153" t="s">
        <v>208</v>
      </c>
      <c r="E4" s="57" t="s">
        <v>54</v>
      </c>
      <c r="F4" s="57" t="s">
        <v>189</v>
      </c>
      <c r="G4" t="s">
        <v>55</v>
      </c>
      <c r="K4" s="153" t="s">
        <v>208</v>
      </c>
      <c r="L4" s="57" t="s">
        <v>54</v>
      </c>
      <c r="M4" s="57" t="s">
        <v>189</v>
      </c>
      <c r="N4" t="s">
        <v>55</v>
      </c>
    </row>
    <row r="5" spans="1:20" x14ac:dyDescent="0.25">
      <c r="A5" t="s">
        <v>4</v>
      </c>
      <c r="B5" s="57">
        <f>BLE!D7</f>
        <v>3000</v>
      </c>
      <c r="C5" t="s">
        <v>240</v>
      </c>
      <c r="D5" s="57">
        <f>IF(B5&gt;210, ROUNDDOWN(B5/210, 0), 0)</f>
        <v>14</v>
      </c>
      <c r="J5" t="s">
        <v>241</v>
      </c>
      <c r="K5" s="57">
        <f>IF(B8&gt;210, ROUNDDOWN(B8/210, 0), 0)</f>
        <v>9</v>
      </c>
    </row>
    <row r="6" spans="1:20" x14ac:dyDescent="0.25">
      <c r="A6" t="s">
        <v>5</v>
      </c>
      <c r="B6" s="57">
        <f>BLE!$D$8</f>
        <v>6</v>
      </c>
      <c r="C6" t="s">
        <v>207</v>
      </c>
      <c r="E6">
        <v>3.6</v>
      </c>
      <c r="F6">
        <f>65*D5</f>
        <v>910</v>
      </c>
      <c r="G6">
        <f>E6*F6</f>
        <v>3276</v>
      </c>
      <c r="J6" t="s">
        <v>207</v>
      </c>
      <c r="L6">
        <v>3.6</v>
      </c>
      <c r="M6">
        <f>65*K5</f>
        <v>585</v>
      </c>
      <c r="N6">
        <f>L6*M6</f>
        <v>2106</v>
      </c>
    </row>
    <row r="7" spans="1:20" x14ac:dyDescent="0.25">
      <c r="A7" t="s">
        <v>8</v>
      </c>
      <c r="B7" s="57">
        <f>BLE!D9</f>
        <v>0</v>
      </c>
      <c r="C7" t="s">
        <v>209</v>
      </c>
      <c r="E7">
        <v>8.9999999999999998E-4</v>
      </c>
      <c r="F7">
        <f ca="1">(B5-(E31/1000)-(F5/1000))*1000</f>
        <v>2997720</v>
      </c>
      <c r="G7">
        <f ca="1">E7*F7</f>
        <v>2697.9479999999999</v>
      </c>
      <c r="J7" t="s">
        <v>209</v>
      </c>
      <c r="L7">
        <v>8.9999999999999998E-4</v>
      </c>
      <c r="M7">
        <f ca="1">(B8-(K31/1000)-(M5/1000))*1000</f>
        <v>1998772</v>
      </c>
      <c r="N7">
        <f ca="1">L7*M7</f>
        <v>1798.8948</v>
      </c>
    </row>
    <row r="8" spans="1:20" x14ac:dyDescent="0.25">
      <c r="A8" t="s">
        <v>6</v>
      </c>
      <c r="B8" s="57">
        <f>BLE!D10</f>
        <v>2000</v>
      </c>
      <c r="G8">
        <f ca="1">SUM(G6:G7)</f>
        <v>5973.9480000000003</v>
      </c>
      <c r="N8">
        <f ca="1">SUM(N6:N7)</f>
        <v>3904.8948</v>
      </c>
    </row>
    <row r="9" spans="1:20" x14ac:dyDescent="0.25">
      <c r="A9" t="s">
        <v>7</v>
      </c>
      <c r="B9" s="57">
        <f>BLE!D11</f>
        <v>31</v>
      </c>
      <c r="C9" t="s">
        <v>239</v>
      </c>
      <c r="F9">
        <f ca="1">SUM(F6:F7)</f>
        <v>2998630</v>
      </c>
      <c r="G9" s="89">
        <f ca="1">G8/F9</f>
        <v>1.9922257831076194E-3</v>
      </c>
      <c r="H9" t="s">
        <v>88</v>
      </c>
      <c r="J9" t="s">
        <v>239</v>
      </c>
      <c r="M9">
        <f ca="1">SUM(M6:M7)</f>
        <v>1999357</v>
      </c>
      <c r="N9" s="89">
        <f ca="1">N8/M9</f>
        <v>1.9530753137133588E-3</v>
      </c>
      <c r="O9" t="s">
        <v>88</v>
      </c>
    </row>
    <row r="10" spans="1:20" x14ac:dyDescent="0.25">
      <c r="A10" t="s">
        <v>2</v>
      </c>
      <c r="B10" s="57">
        <f>BLE!D12</f>
        <v>225</v>
      </c>
    </row>
    <row r="11" spans="1:20" x14ac:dyDescent="0.25">
      <c r="A11" t="s">
        <v>192</v>
      </c>
      <c r="B11" s="57">
        <f>BLE!D13</f>
        <v>100</v>
      </c>
    </row>
    <row r="12" spans="1:20" x14ac:dyDescent="0.25">
      <c r="A12" t="s">
        <v>193</v>
      </c>
      <c r="B12" s="57">
        <f>BLE!D14</f>
        <v>20</v>
      </c>
    </row>
    <row r="13" spans="1:20" x14ac:dyDescent="0.25">
      <c r="C13" s="176" t="s">
        <v>59</v>
      </c>
      <c r="D13" s="176"/>
      <c r="E13" s="176">
        <v>1</v>
      </c>
      <c r="F13" s="176"/>
      <c r="G13" s="176"/>
      <c r="I13" s="167" t="s">
        <v>59</v>
      </c>
      <c r="J13" s="167"/>
      <c r="K13" s="167">
        <v>1</v>
      </c>
      <c r="L13" s="167"/>
      <c r="M13" s="167"/>
      <c r="P13" s="167" t="s">
        <v>59</v>
      </c>
      <c r="Q13" s="167"/>
      <c r="R13" s="167">
        <v>1</v>
      </c>
      <c r="S13" s="167"/>
      <c r="T13" s="167"/>
    </row>
    <row r="14" spans="1:20" x14ac:dyDescent="0.25">
      <c r="C14" s="176"/>
      <c r="D14" s="176"/>
      <c r="E14" s="176"/>
      <c r="F14" s="176"/>
      <c r="G14" s="176"/>
      <c r="I14" s="167"/>
      <c r="J14" s="167"/>
      <c r="K14" s="167"/>
      <c r="L14" s="167"/>
      <c r="M14" s="167"/>
      <c r="P14" s="167"/>
      <c r="Q14" s="167"/>
      <c r="R14" s="167"/>
      <c r="S14" s="167"/>
      <c r="T14" s="167"/>
    </row>
    <row r="15" spans="1:20" ht="45" x14ac:dyDescent="0.25">
      <c r="C15" s="5"/>
      <c r="D15" s="5" t="s">
        <v>19</v>
      </c>
      <c r="E15" s="77" t="s">
        <v>53</v>
      </c>
      <c r="F15" s="77" t="s">
        <v>54</v>
      </c>
      <c r="G15" s="77" t="s">
        <v>55</v>
      </c>
      <c r="I15" s="47"/>
      <c r="J15" s="47" t="s">
        <v>19</v>
      </c>
      <c r="K15" s="75" t="s">
        <v>53</v>
      </c>
      <c r="L15" s="75" t="s">
        <v>54</v>
      </c>
      <c r="M15" s="75" t="s">
        <v>55</v>
      </c>
      <c r="P15" s="47"/>
      <c r="Q15" s="47" t="s">
        <v>19</v>
      </c>
      <c r="R15" s="75" t="s">
        <v>53</v>
      </c>
      <c r="S15" s="75" t="s">
        <v>54</v>
      </c>
      <c r="T15" s="75" t="s">
        <v>55</v>
      </c>
    </row>
    <row r="16" spans="1:20" x14ac:dyDescent="0.25">
      <c r="C16" s="5">
        <v>1</v>
      </c>
      <c r="D16" s="5" t="s">
        <v>23</v>
      </c>
      <c r="E16" s="83">
        <f ca="1">INDIRECT("'"&amp;B3&amp;"'!C114")</f>
        <v>293</v>
      </c>
      <c r="F16" s="78">
        <f ca="1">INDIRECT("'"&amp;B3&amp;"'!D114")</f>
        <v>4.439834989761092</v>
      </c>
      <c r="G16" s="77">
        <f ca="1">E16*F16</f>
        <v>1300.871652</v>
      </c>
      <c r="I16" s="47">
        <v>1</v>
      </c>
      <c r="J16" s="47" t="s">
        <v>35</v>
      </c>
      <c r="K16" s="93">
        <f ca="1">INDIRECT("'"&amp;C3&amp;"'!T4")</f>
        <v>281</v>
      </c>
      <c r="L16" s="76">
        <f ca="1">INDIRECT("'"&amp;C3&amp;"'!U4")</f>
        <v>4.1899999999999995</v>
      </c>
      <c r="M16" s="75">
        <f ca="1">K16*L16</f>
        <v>1177.3899999999999</v>
      </c>
      <c r="P16" s="47">
        <v>1</v>
      </c>
      <c r="Q16" s="47" t="s">
        <v>35</v>
      </c>
      <c r="R16" s="93">
        <f ca="1">INDIRECT("'"&amp;D3&amp;"'!O4")</f>
        <v>415</v>
      </c>
      <c r="S16" s="76">
        <f ca="1">INDIRECT("'"&amp;D3&amp;"'!P4")</f>
        <v>4.2719983999999993</v>
      </c>
      <c r="T16" s="75">
        <f ca="1">R16*S16</f>
        <v>1772.8793359999997</v>
      </c>
    </row>
    <row r="17" spans="3:20" x14ac:dyDescent="0.25">
      <c r="C17" s="5">
        <v>2</v>
      </c>
      <c r="D17" s="5" t="s">
        <v>24</v>
      </c>
      <c r="E17" s="78">
        <f ca="1">INDIRECT("'"&amp;B3&amp;"'!C115")</f>
        <v>116</v>
      </c>
      <c r="F17" s="78">
        <f ca="1">INDIRECT("'"&amp;B3&amp;"'!D115")</f>
        <v>5.1100000000000003</v>
      </c>
      <c r="G17" s="77">
        <f t="shared" ref="G17:G29" ca="1" si="0">E17*F17</f>
        <v>592.76</v>
      </c>
      <c r="I17" s="47">
        <v>2</v>
      </c>
      <c r="J17" s="47" t="s">
        <v>36</v>
      </c>
      <c r="K17" s="93">
        <f ca="1">INDIRECT("'"&amp;C3&amp;"'!T5")</f>
        <v>138</v>
      </c>
      <c r="L17" s="76">
        <f ca="1">INDIRECT("'"&amp;C3&amp;"'!U5")</f>
        <v>4.42</v>
      </c>
      <c r="M17" s="75">
        <f t="shared" ref="M17:M29" ca="1" si="1">K17*L17</f>
        <v>609.96</v>
      </c>
      <c r="P17" s="47">
        <v>2</v>
      </c>
      <c r="Q17" s="47" t="s">
        <v>27</v>
      </c>
      <c r="R17" s="93">
        <f ca="1">INDIRECT("'"&amp;D3&amp;"'!O5")</f>
        <v>19916</v>
      </c>
      <c r="S17" s="76">
        <f ca="1">INDIRECT("'"&amp;D3&amp;"'!P5")</f>
        <v>7.5901892000000002</v>
      </c>
      <c r="T17" s="75">
        <f t="shared" ref="T17:T29" ca="1" si="2">R17*S17</f>
        <v>151166.20810720001</v>
      </c>
    </row>
    <row r="18" spans="3:20" x14ac:dyDescent="0.25">
      <c r="C18" s="5">
        <v>3</v>
      </c>
      <c r="D18" s="5" t="s">
        <v>25</v>
      </c>
      <c r="E18" s="78">
        <f ca="1">INDIRECT("'"&amp;B3&amp;"'!C116")</f>
        <v>168</v>
      </c>
      <c r="F18" s="78">
        <f ca="1">INDIRECT("'"&amp;B3&amp;"'!D116")</f>
        <v>10.52</v>
      </c>
      <c r="G18" s="77">
        <f t="shared" ca="1" si="0"/>
        <v>1767.36</v>
      </c>
      <c r="I18" s="47">
        <v>3</v>
      </c>
      <c r="J18" s="47" t="s">
        <v>27</v>
      </c>
      <c r="K18" s="93">
        <f ca="1">INDIRECT("'"&amp;C3&amp;"'!T6")</f>
        <v>322</v>
      </c>
      <c r="L18" s="76">
        <f ca="1">INDIRECT("'"&amp;C3&amp;"'!U6")</f>
        <v>7.8599999999999994</v>
      </c>
      <c r="M18" s="75">
        <f t="shared" ca="1" si="1"/>
        <v>2530.9199999999996</v>
      </c>
      <c r="P18" s="47">
        <v>3</v>
      </c>
      <c r="Q18" s="47" t="s">
        <v>29</v>
      </c>
      <c r="R18" s="93">
        <f ca="1">INDIRECT("'"&amp;D3&amp;"'!O6")</f>
        <v>224</v>
      </c>
      <c r="S18" s="76">
        <f ca="1">INDIRECT("'"&amp;D3&amp;"'!P6")</f>
        <v>5.7173834000000001</v>
      </c>
      <c r="T18" s="75">
        <f t="shared" ca="1" si="2"/>
        <v>1280.6938815999999</v>
      </c>
    </row>
    <row r="19" spans="3:20" x14ac:dyDescent="0.25">
      <c r="C19" s="5">
        <v>4</v>
      </c>
      <c r="D19" s="5" t="s">
        <v>26</v>
      </c>
      <c r="E19" s="83">
        <f ca="1">INDIRECT("'"&amp;B3&amp;"'!C117")</f>
        <v>151</v>
      </c>
      <c r="F19" s="78">
        <f ca="1">INDIRECT("'"&amp;B3&amp;"'!D117")</f>
        <v>4.8</v>
      </c>
      <c r="G19" s="77">
        <f t="shared" ca="1" si="0"/>
        <v>724.8</v>
      </c>
      <c r="I19" s="47">
        <v>4</v>
      </c>
      <c r="J19" s="47" t="s">
        <v>28</v>
      </c>
      <c r="K19" s="93">
        <f ca="1">INDIRECT("'"&amp;C3&amp;"'!T7")</f>
        <v>143</v>
      </c>
      <c r="L19" s="76">
        <f ca="1">INDIRECT("'"&amp;C3&amp;"'!U7")</f>
        <v>5</v>
      </c>
      <c r="M19" s="75">
        <f t="shared" ca="1" si="1"/>
        <v>715</v>
      </c>
      <c r="P19" s="47">
        <v>4</v>
      </c>
      <c r="Q19" s="47" t="s">
        <v>60</v>
      </c>
      <c r="R19" s="93">
        <f ca="1">INDIRECT("'"&amp;D3&amp;"'!O7")</f>
        <v>79442</v>
      </c>
      <c r="S19" s="76">
        <f ca="1">INDIRECT("'"&amp;D3&amp;"'!P7")</f>
        <v>6.7540000000000005E-3</v>
      </c>
      <c r="T19" s="75">
        <f t="shared" ca="1" si="2"/>
        <v>536.55126800000005</v>
      </c>
    </row>
    <row r="20" spans="3:20" x14ac:dyDescent="0.25">
      <c r="C20" s="5">
        <v>5</v>
      </c>
      <c r="D20" s="5" t="s">
        <v>27</v>
      </c>
      <c r="E20" s="78">
        <f ca="1">INDIRECT("'"&amp;B3&amp;"'!C118")</f>
        <v>148</v>
      </c>
      <c r="F20" s="78">
        <f ca="1">INDIRECT("'"&amp;B3&amp;"'!D118")</f>
        <v>7.2389598468468472</v>
      </c>
      <c r="G20" s="77">
        <f t="shared" ca="1" si="0"/>
        <v>1071.3660573333334</v>
      </c>
      <c r="I20" s="47">
        <v>5</v>
      </c>
      <c r="J20" s="47" t="s">
        <v>25</v>
      </c>
      <c r="K20" s="93">
        <f ca="1">INDIRECT("'"&amp;C3&amp;"'!T8")</f>
        <v>39</v>
      </c>
      <c r="L20" s="76">
        <f ca="1">INDIRECT("'"&amp;C3&amp;"'!U8")</f>
        <v>11.09</v>
      </c>
      <c r="M20" s="75">
        <f t="shared" ca="1" si="1"/>
        <v>432.51</v>
      </c>
      <c r="P20" s="47">
        <v>5</v>
      </c>
      <c r="Q20" s="47"/>
      <c r="R20" s="93"/>
      <c r="S20" s="76"/>
      <c r="T20" s="75">
        <f t="shared" si="2"/>
        <v>0</v>
      </c>
    </row>
    <row r="21" spans="3:20" x14ac:dyDescent="0.25">
      <c r="C21" s="5">
        <v>6</v>
      </c>
      <c r="D21" s="5" t="s">
        <v>28</v>
      </c>
      <c r="E21" s="78">
        <f ca="1">INDIRECT("'"&amp;B3&amp;"'!C119")</f>
        <v>121</v>
      </c>
      <c r="F21" s="78">
        <f ca="1">INDIRECT("'"&amp;B3&amp;"'!D119")</f>
        <v>5.54</v>
      </c>
      <c r="G21" s="77">
        <f t="shared" ca="1" si="0"/>
        <v>670.34</v>
      </c>
      <c r="I21" s="47">
        <v>6</v>
      </c>
      <c r="J21" s="47" t="s">
        <v>29</v>
      </c>
      <c r="K21" s="93">
        <f ca="1">INDIRECT("'"&amp;C3&amp;"'!T9")</f>
        <v>305</v>
      </c>
      <c r="L21" s="76">
        <f ca="1">INDIRECT("'"&amp;C3&amp;"'!U9")</f>
        <v>5.8</v>
      </c>
      <c r="M21" s="75">
        <f t="shared" ca="1" si="1"/>
        <v>1769</v>
      </c>
      <c r="P21" s="47">
        <v>6</v>
      </c>
      <c r="Q21" s="47"/>
      <c r="R21" s="93"/>
      <c r="S21" s="76"/>
      <c r="T21" s="75">
        <f t="shared" si="2"/>
        <v>0</v>
      </c>
    </row>
    <row r="22" spans="3:20" x14ac:dyDescent="0.25">
      <c r="C22" s="5">
        <v>7</v>
      </c>
      <c r="D22" s="5" t="s">
        <v>25</v>
      </c>
      <c r="E22" s="83">
        <f ca="1">INDIRECT("'"&amp;B3&amp;"'!C120")</f>
        <v>168</v>
      </c>
      <c r="F22" s="78">
        <f ca="1">INDIRECT("'"&amp;B3&amp;"'!D120")</f>
        <v>10.6</v>
      </c>
      <c r="G22" s="77">
        <f t="shared" ca="1" si="0"/>
        <v>1780.8</v>
      </c>
      <c r="I22" s="47">
        <v>7</v>
      </c>
      <c r="J22" s="47"/>
      <c r="K22" s="93"/>
      <c r="L22" s="76"/>
      <c r="M22" s="75">
        <f t="shared" si="1"/>
        <v>0</v>
      </c>
      <c r="P22" s="47">
        <v>7</v>
      </c>
      <c r="Q22" s="47"/>
      <c r="R22" s="93"/>
      <c r="S22" s="76"/>
      <c r="T22" s="75">
        <f t="shared" si="2"/>
        <v>0</v>
      </c>
    </row>
    <row r="23" spans="3:20" x14ac:dyDescent="0.25">
      <c r="C23" s="5">
        <v>8</v>
      </c>
      <c r="D23" s="5" t="s">
        <v>26</v>
      </c>
      <c r="E23" s="78">
        <f ca="1">INDIRECT("'"&amp;B3&amp;"'!C121")</f>
        <v>150</v>
      </c>
      <c r="F23" s="78">
        <f ca="1">INDIRECT("'"&amp;B3&amp;"'!D121")</f>
        <v>4.72</v>
      </c>
      <c r="G23" s="77">
        <f t="shared" ca="1" si="0"/>
        <v>708</v>
      </c>
      <c r="I23" s="47">
        <v>8</v>
      </c>
      <c r="J23" s="47"/>
      <c r="K23" s="76"/>
      <c r="L23" s="76"/>
      <c r="M23" s="75">
        <f t="shared" si="1"/>
        <v>0</v>
      </c>
      <c r="P23" s="47">
        <v>8</v>
      </c>
      <c r="Q23" s="47"/>
      <c r="R23" s="76"/>
      <c r="S23" s="76"/>
      <c r="T23" s="75">
        <f t="shared" si="2"/>
        <v>0</v>
      </c>
    </row>
    <row r="24" spans="3:20" x14ac:dyDescent="0.25">
      <c r="C24" s="5">
        <v>9</v>
      </c>
      <c r="D24" s="5" t="s">
        <v>27</v>
      </c>
      <c r="E24" s="78">
        <f ca="1">INDIRECT("'"&amp;B3&amp;"'!C122")</f>
        <v>146</v>
      </c>
      <c r="F24" s="78">
        <f ca="1">INDIRECT("'"&amp;B3&amp;"'!D122")</f>
        <v>7.2118333652968039</v>
      </c>
      <c r="G24" s="77">
        <f t="shared" ca="1" si="0"/>
        <v>1052.9276713333334</v>
      </c>
      <c r="I24" s="47">
        <v>9</v>
      </c>
      <c r="J24" s="47"/>
      <c r="K24" s="76"/>
      <c r="L24" s="76"/>
      <c r="M24" s="75">
        <f t="shared" si="1"/>
        <v>0</v>
      </c>
      <c r="P24" s="47">
        <v>9</v>
      </c>
      <c r="Q24" s="47"/>
      <c r="R24" s="76"/>
      <c r="S24" s="76"/>
      <c r="T24" s="75">
        <f t="shared" si="2"/>
        <v>0</v>
      </c>
    </row>
    <row r="25" spans="3:20" x14ac:dyDescent="0.25">
      <c r="C25" s="5">
        <v>10</v>
      </c>
      <c r="D25" s="5" t="s">
        <v>28</v>
      </c>
      <c r="E25" s="83">
        <f ca="1">INDIRECT("'"&amp;B3&amp;"'!C123")</f>
        <v>120</v>
      </c>
      <c r="F25" s="78">
        <f ca="1">INDIRECT("'"&amp;B3&amp;"'!D123")</f>
        <v>5.44</v>
      </c>
      <c r="G25" s="77">
        <f t="shared" ca="1" si="0"/>
        <v>652.80000000000007</v>
      </c>
      <c r="I25" s="47">
        <v>10</v>
      </c>
      <c r="J25" s="47"/>
      <c r="K25" s="93"/>
      <c r="L25" s="76"/>
      <c r="M25" s="75">
        <f t="shared" si="1"/>
        <v>0</v>
      </c>
      <c r="P25" s="47">
        <v>10</v>
      </c>
      <c r="Q25" s="47"/>
      <c r="R25" s="93"/>
      <c r="S25" s="76"/>
      <c r="T25" s="75">
        <f t="shared" si="2"/>
        <v>0</v>
      </c>
    </row>
    <row r="26" spans="3:20" x14ac:dyDescent="0.25">
      <c r="C26" s="5">
        <v>11</v>
      </c>
      <c r="D26" s="5" t="s">
        <v>25</v>
      </c>
      <c r="E26" s="78">
        <f ca="1">INDIRECT("'"&amp;B3&amp;"'!C124")</f>
        <v>168</v>
      </c>
      <c r="F26" s="78">
        <f ca="1">INDIRECT("'"&amp;B3&amp;"'!D124")</f>
        <v>10.5</v>
      </c>
      <c r="G26" s="77">
        <f t="shared" ca="1" si="0"/>
        <v>1764</v>
      </c>
      <c r="I26" s="47">
        <v>11</v>
      </c>
      <c r="J26" s="47"/>
      <c r="K26" s="76"/>
      <c r="L26" s="76"/>
      <c r="M26" s="75">
        <f t="shared" si="1"/>
        <v>0</v>
      </c>
      <c r="P26" s="47">
        <v>11</v>
      </c>
      <c r="Q26" s="47"/>
      <c r="R26" s="76"/>
      <c r="S26" s="76"/>
      <c r="T26" s="75">
        <f t="shared" si="2"/>
        <v>0</v>
      </c>
    </row>
    <row r="27" spans="3:20" x14ac:dyDescent="0.25">
      <c r="C27" s="5">
        <v>12</v>
      </c>
      <c r="D27" s="5" t="s">
        <v>26</v>
      </c>
      <c r="E27" s="78">
        <f ca="1">INDIRECT("'"&amp;B3&amp;"'!C125")</f>
        <v>149</v>
      </c>
      <c r="F27" s="78">
        <f ca="1">INDIRECT("'"&amp;B3&amp;"'!D125")</f>
        <v>4.68</v>
      </c>
      <c r="G27" s="77">
        <f t="shared" ca="1" si="0"/>
        <v>697.31999999999994</v>
      </c>
      <c r="I27" s="47">
        <v>12</v>
      </c>
      <c r="J27" s="47"/>
      <c r="K27" s="76"/>
      <c r="L27" s="76"/>
      <c r="M27" s="75">
        <f t="shared" si="1"/>
        <v>0</v>
      </c>
      <c r="P27" s="47">
        <v>12</v>
      </c>
      <c r="Q27" s="47"/>
      <c r="R27" s="76"/>
      <c r="S27" s="76"/>
      <c r="T27" s="75">
        <f t="shared" si="2"/>
        <v>0</v>
      </c>
    </row>
    <row r="28" spans="3:20" x14ac:dyDescent="0.25">
      <c r="C28" s="5">
        <v>13</v>
      </c>
      <c r="D28" s="5" t="s">
        <v>27</v>
      </c>
      <c r="E28" s="83">
        <f ca="1">INDIRECT("'"&amp;B3&amp;"'!C126")</f>
        <v>150</v>
      </c>
      <c r="F28" s="78">
        <f ca="1">INDIRECT("'"&amp;B3&amp;"'!D126")</f>
        <v>7.4900236103286373</v>
      </c>
      <c r="G28" s="77">
        <f t="shared" ca="1" si="0"/>
        <v>1123.5035415492955</v>
      </c>
      <c r="I28" s="47">
        <v>13</v>
      </c>
      <c r="J28" s="47"/>
      <c r="K28" s="93"/>
      <c r="L28" s="76"/>
      <c r="M28" s="75">
        <f t="shared" si="1"/>
        <v>0</v>
      </c>
      <c r="P28" s="47">
        <v>13</v>
      </c>
      <c r="Q28" s="47"/>
      <c r="R28" s="93"/>
      <c r="S28" s="76"/>
      <c r="T28" s="75">
        <f t="shared" si="2"/>
        <v>0</v>
      </c>
    </row>
    <row r="29" spans="3:20" x14ac:dyDescent="0.25">
      <c r="C29" s="5">
        <v>14</v>
      </c>
      <c r="D29" s="5" t="s">
        <v>29</v>
      </c>
      <c r="E29" s="78">
        <f ca="1">INDIRECT("'"&amp;B3&amp;"'!C127")</f>
        <v>232</v>
      </c>
      <c r="F29" s="78">
        <f ca="1">INDIRECT("'"&amp;B3&amp;"'!D127")</f>
        <v>5.1313532041379313</v>
      </c>
      <c r="G29" s="77">
        <f t="shared" ca="1" si="0"/>
        <v>1190.47394336</v>
      </c>
      <c r="I29" s="47">
        <v>14</v>
      </c>
      <c r="J29" s="47"/>
      <c r="K29" s="76"/>
      <c r="L29" s="76"/>
      <c r="M29" s="75">
        <f t="shared" si="1"/>
        <v>0</v>
      </c>
      <c r="P29" s="47">
        <v>14</v>
      </c>
      <c r="Q29" s="47"/>
      <c r="R29" s="76"/>
      <c r="S29" s="76"/>
      <c r="T29" s="75">
        <f t="shared" si="2"/>
        <v>0</v>
      </c>
    </row>
    <row r="30" spans="3:20" x14ac:dyDescent="0.25">
      <c r="C30" s="5">
        <v>15</v>
      </c>
      <c r="D30" s="5" t="s">
        <v>60</v>
      </c>
      <c r="E30" s="78"/>
      <c r="F30" s="78"/>
      <c r="G30" s="77"/>
      <c r="I30" s="47">
        <v>15</v>
      </c>
      <c r="J30" s="47"/>
      <c r="K30" s="76"/>
      <c r="L30" s="76"/>
      <c r="M30" s="75"/>
      <c r="P30" s="47">
        <v>15</v>
      </c>
      <c r="Q30" s="47"/>
      <c r="R30" s="76"/>
      <c r="S30" s="76"/>
      <c r="T30" s="75"/>
    </row>
    <row r="31" spans="3:20" x14ac:dyDescent="0.25">
      <c r="C31" s="79"/>
      <c r="D31" s="5" t="s">
        <v>56</v>
      </c>
      <c r="E31" s="173">
        <f ca="1">SUM(E16:E29)</f>
        <v>2280</v>
      </c>
      <c r="F31" s="174"/>
      <c r="G31" s="175"/>
      <c r="I31" s="32"/>
      <c r="J31" s="47" t="s">
        <v>56</v>
      </c>
      <c r="K31" s="172">
        <f ca="1">SUM(K16:K29)</f>
        <v>1228</v>
      </c>
      <c r="L31" s="170"/>
      <c r="M31" s="171"/>
      <c r="P31" s="32"/>
      <c r="Q31" s="47" t="s">
        <v>56</v>
      </c>
      <c r="R31" s="168">
        <f ca="1">SUM(R16:R29)</f>
        <v>99997</v>
      </c>
      <c r="S31" s="168"/>
      <c r="T31" s="168"/>
    </row>
    <row r="32" spans="3:20" x14ac:dyDescent="0.25">
      <c r="C32" s="79"/>
      <c r="D32" s="5" t="s">
        <v>57</v>
      </c>
      <c r="E32" s="173">
        <f ca="1">SUM(G16:G29)/E31</f>
        <v>6.6216328357789305</v>
      </c>
      <c r="F32" s="174"/>
      <c r="G32" s="175"/>
      <c r="I32" s="32"/>
      <c r="J32" s="47" t="s">
        <v>57</v>
      </c>
      <c r="K32" s="169">
        <f ca="1">SUM(M16:M29)/K31</f>
        <v>5.8915146579804558</v>
      </c>
      <c r="L32" s="170"/>
      <c r="M32" s="171"/>
      <c r="P32" s="32"/>
      <c r="Q32" s="47" t="s">
        <v>57</v>
      </c>
      <c r="R32" s="168">
        <f ca="1">SUM(T16:T29)/R31</f>
        <v>1.5476097542206269</v>
      </c>
      <c r="S32" s="168"/>
      <c r="T32" s="168"/>
    </row>
    <row r="33" spans="4:20" x14ac:dyDescent="0.25">
      <c r="F33" t="s">
        <v>61</v>
      </c>
      <c r="G33" t="s">
        <v>62</v>
      </c>
      <c r="L33" t="s">
        <v>61</v>
      </c>
      <c r="M33" t="s">
        <v>62</v>
      </c>
      <c r="S33" t="s">
        <v>61</v>
      </c>
      <c r="T33" t="s">
        <v>62</v>
      </c>
    </row>
    <row r="34" spans="4:20" x14ac:dyDescent="0.25">
      <c r="D34" s="5" t="s">
        <v>60</v>
      </c>
      <c r="E34" s="78">
        <v>98085</v>
      </c>
      <c r="F34" s="78">
        <v>1.9E-2</v>
      </c>
      <c r="G34" s="77">
        <f>-NC897</f>
        <v>0</v>
      </c>
      <c r="J34" s="47" t="s">
        <v>60</v>
      </c>
      <c r="K34" s="76">
        <v>98085</v>
      </c>
      <c r="L34" s="76">
        <v>1.9E-2</v>
      </c>
      <c r="M34" s="75">
        <f>-NI897</f>
        <v>0</v>
      </c>
      <c r="Q34" s="47" t="s">
        <v>60</v>
      </c>
      <c r="R34" s="93">
        <f ca="1">R19</f>
        <v>79442</v>
      </c>
      <c r="S34" s="76"/>
      <c r="T34" s="75">
        <f>-NP897</f>
        <v>0</v>
      </c>
    </row>
    <row r="35" spans="4:20" x14ac:dyDescent="0.25">
      <c r="F35">
        <v>-8.8500000000000004E-4</v>
      </c>
      <c r="L35">
        <v>-8.8500000000000004E-4</v>
      </c>
    </row>
  </sheetData>
  <mergeCells count="12">
    <mergeCell ref="E31:G31"/>
    <mergeCell ref="E32:G32"/>
    <mergeCell ref="C13:D14"/>
    <mergeCell ref="E13:G14"/>
    <mergeCell ref="I13:J14"/>
    <mergeCell ref="P13:Q14"/>
    <mergeCell ref="R13:T14"/>
    <mergeCell ref="R31:T31"/>
    <mergeCell ref="R32:T32"/>
    <mergeCell ref="K32:M32"/>
    <mergeCell ref="K13:M14"/>
    <mergeCell ref="K31:M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B4D7B-2D0F-4650-A1AB-49BFDCAE1A81}">
  <dimension ref="A1:AC154"/>
  <sheetViews>
    <sheetView topLeftCell="K1" workbookViewId="0">
      <selection activeCell="X18" sqref="X18"/>
    </sheetView>
  </sheetViews>
  <sheetFormatPr defaultRowHeight="15" x14ac:dyDescent="0.25"/>
  <cols>
    <col min="2" max="2" width="34.85546875" customWidth="1"/>
    <col min="3" max="3" width="9.140625" customWidth="1"/>
    <col min="4" max="4" width="12.5703125" bestFit="1" customWidth="1"/>
    <col min="6" max="6" width="2.5703125" customWidth="1"/>
    <col min="10" max="10" width="2.5703125" customWidth="1"/>
    <col min="14" max="14" width="2" customWidth="1"/>
    <col min="15" max="15" width="11.5703125" customWidth="1"/>
    <col min="27" max="27" width="9.5703125" bestFit="1" customWidth="1"/>
    <col min="29" max="29" width="9.5703125" bestFit="1" customWidth="1"/>
  </cols>
  <sheetData>
    <row r="1" spans="1:29" x14ac:dyDescent="0.25">
      <c r="A1" s="167" t="s">
        <v>121</v>
      </c>
      <c r="B1" s="167"/>
      <c r="C1" s="167" t="s">
        <v>228</v>
      </c>
      <c r="D1" s="167"/>
      <c r="E1" s="167"/>
      <c r="F1" s="180"/>
      <c r="G1" s="167" t="s">
        <v>221</v>
      </c>
      <c r="H1" s="167"/>
      <c r="I1" s="167"/>
      <c r="J1" s="180"/>
      <c r="K1" s="167" t="s">
        <v>233</v>
      </c>
      <c r="L1" s="167"/>
      <c r="M1" s="167"/>
      <c r="O1" s="167" t="s">
        <v>236</v>
      </c>
      <c r="P1" s="167"/>
      <c r="Q1" s="167"/>
      <c r="T1" s="167" t="str">
        <f>BLE!D4</f>
        <v>3.0V</v>
      </c>
      <c r="U1" s="167"/>
      <c r="V1" s="167"/>
    </row>
    <row r="2" spans="1:29" x14ac:dyDescent="0.25">
      <c r="A2" s="167"/>
      <c r="B2" s="167"/>
      <c r="C2" s="167"/>
      <c r="D2" s="167"/>
      <c r="E2" s="167"/>
      <c r="F2" s="181"/>
      <c r="G2" s="167"/>
      <c r="H2" s="167"/>
      <c r="I2" s="167"/>
      <c r="J2" s="181"/>
      <c r="K2" s="167"/>
      <c r="L2" s="167"/>
      <c r="M2" s="167"/>
      <c r="O2" s="167"/>
      <c r="P2" s="167"/>
      <c r="Q2" s="167"/>
      <c r="T2" s="167"/>
      <c r="U2" s="167"/>
      <c r="V2" s="167"/>
      <c r="W2" s="142">
        <f>BLE!D6</f>
        <v>2</v>
      </c>
    </row>
    <row r="3" spans="1:29" x14ac:dyDescent="0.25">
      <c r="A3" s="47"/>
      <c r="B3" s="47" t="s">
        <v>19</v>
      </c>
      <c r="C3" s="75" t="s">
        <v>53</v>
      </c>
      <c r="D3" s="75" t="s">
        <v>54</v>
      </c>
      <c r="E3" s="75" t="s">
        <v>55</v>
      </c>
      <c r="F3" s="181"/>
      <c r="G3" s="75" t="s">
        <v>53</v>
      </c>
      <c r="H3" s="75" t="s">
        <v>54</v>
      </c>
      <c r="I3" s="75" t="s">
        <v>55</v>
      </c>
      <c r="J3" s="181"/>
      <c r="K3" s="75" t="s">
        <v>53</v>
      </c>
      <c r="L3" s="75" t="s">
        <v>54</v>
      </c>
      <c r="M3" s="75" t="s">
        <v>55</v>
      </c>
      <c r="O3" s="75" t="s">
        <v>53</v>
      </c>
      <c r="P3" s="75" t="s">
        <v>54</v>
      </c>
      <c r="Q3" s="75" t="s">
        <v>55</v>
      </c>
      <c r="T3" s="75" t="s">
        <v>53</v>
      </c>
      <c r="U3" s="75" t="s">
        <v>54</v>
      </c>
      <c r="V3" s="75" t="s">
        <v>55</v>
      </c>
      <c r="Y3" s="79"/>
      <c r="Z3" s="183" t="s">
        <v>136</v>
      </c>
      <c r="AA3" s="183"/>
      <c r="AB3" s="183" t="s">
        <v>137</v>
      </c>
      <c r="AC3" s="183"/>
    </row>
    <row r="4" spans="1:29" ht="39" x14ac:dyDescent="0.25">
      <c r="A4" s="47">
        <v>1</v>
      </c>
      <c r="B4" s="47" t="s">
        <v>35</v>
      </c>
      <c r="C4" s="76">
        <v>275</v>
      </c>
      <c r="D4" s="76">
        <v>6.988988</v>
      </c>
      <c r="E4" s="75">
        <f>C4*D4</f>
        <v>1921.9717000000001</v>
      </c>
      <c r="F4" s="181"/>
      <c r="G4" s="76">
        <v>280</v>
      </c>
      <c r="H4" s="76">
        <v>7.5022380000000002</v>
      </c>
      <c r="I4" s="75">
        <f>G4*H4</f>
        <v>2100.62664</v>
      </c>
      <c r="J4" s="181"/>
      <c r="K4" s="76">
        <v>284</v>
      </c>
      <c r="L4" s="76">
        <v>6.8887070000000001</v>
      </c>
      <c r="M4" s="75">
        <f>K4*L4</f>
        <v>1956.3927880000001</v>
      </c>
      <c r="O4" s="76">
        <f>ROUNDUP(AVERAGE(C4,G4,K4),0)</f>
        <v>280</v>
      </c>
      <c r="P4" s="76">
        <f>ROUNDUP(AVERAGE(D4,H4,L4),1)</f>
        <v>7.1999999999999993</v>
      </c>
      <c r="Q4" s="75">
        <f>O4*P4</f>
        <v>2015.9999999999998</v>
      </c>
      <c r="T4" s="76">
        <f>IF(T1="3.0V",O4, IF(T1="3.3V",O31))</f>
        <v>280</v>
      </c>
      <c r="U4" s="76">
        <f>IF(T1="3.0V",P4, IF(T1="3.3V",P31))</f>
        <v>7.1999999999999993</v>
      </c>
      <c r="V4" s="75">
        <f>T4*U4</f>
        <v>2015.9999999999998</v>
      </c>
      <c r="Y4" s="79"/>
      <c r="Z4" s="118" t="s">
        <v>28</v>
      </c>
      <c r="AA4" s="128" t="s">
        <v>25</v>
      </c>
      <c r="AB4" s="118" t="s">
        <v>28</v>
      </c>
      <c r="AC4" s="128" t="s">
        <v>25</v>
      </c>
    </row>
    <row r="5" spans="1:29" x14ac:dyDescent="0.25">
      <c r="A5" s="47">
        <v>2</v>
      </c>
      <c r="B5" s="47" t="s">
        <v>36</v>
      </c>
      <c r="C5" s="76">
        <v>143</v>
      </c>
      <c r="D5" s="76">
        <v>7.3189570000000002</v>
      </c>
      <c r="E5" s="75">
        <f t="shared" ref="E5:E17" si="0">C5*D5</f>
        <v>1046.6108509999999</v>
      </c>
      <c r="F5" s="181"/>
      <c r="G5" s="76">
        <v>161</v>
      </c>
      <c r="H5" s="76">
        <v>7.8379310000000002</v>
      </c>
      <c r="I5" s="75">
        <f t="shared" ref="I5:I17" si="1">G5*H5</f>
        <v>1261.9068910000001</v>
      </c>
      <c r="J5" s="181"/>
      <c r="K5" s="76">
        <v>161</v>
      </c>
      <c r="L5" s="76">
        <v>7.9</v>
      </c>
      <c r="M5" s="75">
        <f t="shared" ref="M5:M17" si="2">K5*L5</f>
        <v>1271.9000000000001</v>
      </c>
      <c r="O5" s="76">
        <f t="shared" ref="O5:O9" si="3">ROUNDUP(AVERAGE(C5,G5,K5),0)</f>
        <v>155</v>
      </c>
      <c r="P5" s="76">
        <f>ROUNDUP(AVERAGE(D5,H5,L5),1)</f>
        <v>7.6999999999999993</v>
      </c>
      <c r="Q5" s="75">
        <f t="shared" ref="Q5:Q17" si="4">O5*P5</f>
        <v>1193.5</v>
      </c>
      <c r="T5" s="76">
        <f>IF(T1="3.0V",O5, IF(T1="3.3V",O32))</f>
        <v>155</v>
      </c>
      <c r="U5" s="76">
        <f>IF(T1="3.0V",P5, IF(T1="3.3V",P32))</f>
        <v>7.6999999999999993</v>
      </c>
      <c r="V5" s="75">
        <f t="shared" ref="V5:V17" si="5">T5*U5</f>
        <v>1193.5</v>
      </c>
      <c r="Y5" s="79">
        <v>0</v>
      </c>
      <c r="Z5" s="79">
        <f>'CC2745R10 GLDO'!AE68</f>
        <v>11.1</v>
      </c>
      <c r="AA5" s="79">
        <f>'CC2745R10 GLDO'!AC68</f>
        <v>19.290320999999999</v>
      </c>
      <c r="AB5" s="79">
        <f>'CC2745R10 DCDC'!AE16</f>
        <v>4.7439999999999998</v>
      </c>
      <c r="AC5" s="79">
        <f>'CC2745R10 GLDO'!AC16</f>
        <v>19.046610095362972</v>
      </c>
    </row>
    <row r="6" spans="1:29" x14ac:dyDescent="0.25">
      <c r="A6" s="47">
        <v>3</v>
      </c>
      <c r="B6" s="47" t="s">
        <v>27</v>
      </c>
      <c r="C6" s="76">
        <v>324</v>
      </c>
      <c r="D6" s="76">
        <v>13.537008999999999</v>
      </c>
      <c r="E6" s="75">
        <f t="shared" si="0"/>
        <v>4385.9909159999997</v>
      </c>
      <c r="F6" s="181"/>
      <c r="G6" s="76">
        <v>315</v>
      </c>
      <c r="H6" s="76">
        <v>12.882374</v>
      </c>
      <c r="I6" s="75">
        <f t="shared" si="1"/>
        <v>4057.9478100000001</v>
      </c>
      <c r="J6" s="181"/>
      <c r="K6" s="76">
        <v>320</v>
      </c>
      <c r="L6" s="76">
        <v>12.769698999999999</v>
      </c>
      <c r="M6" s="75">
        <f t="shared" si="2"/>
        <v>4086.30368</v>
      </c>
      <c r="O6" s="76">
        <f t="shared" si="3"/>
        <v>320</v>
      </c>
      <c r="P6" s="76">
        <f>ROUNDUP(AVERAGE(D6,H6,L6),1)</f>
        <v>13.1</v>
      </c>
      <c r="Q6" s="75">
        <f t="shared" si="4"/>
        <v>4192</v>
      </c>
      <c r="T6" s="76">
        <f>IF(T1="3.0V",O6, IF(T1="3.3V",O33))</f>
        <v>320</v>
      </c>
      <c r="U6" s="76">
        <f>IF(T1="3.0V",P6, IF(T1="3.3V",P33))</f>
        <v>13.1</v>
      </c>
      <c r="V6" s="75">
        <f t="shared" si="5"/>
        <v>4192</v>
      </c>
      <c r="Y6" s="79">
        <v>1</v>
      </c>
      <c r="Z6" s="79">
        <f>'CC2745R10 GLDO'!AE69</f>
        <v>11.1</v>
      </c>
      <c r="AA6" s="79">
        <f>'CC2745R10 GLDO'!AC69</f>
        <v>19.7973</v>
      </c>
      <c r="AB6" s="79">
        <f>'CC2745R10 DCDC'!AE17</f>
        <v>5.0526939999999998</v>
      </c>
      <c r="AC6" s="79">
        <f>'CC2745R10 GLDO'!AC17</f>
        <v>19.547184001807402</v>
      </c>
    </row>
    <row r="7" spans="1:29" s="120" customFormat="1" x14ac:dyDescent="0.25">
      <c r="A7" s="129">
        <v>4</v>
      </c>
      <c r="B7" s="129" t="s">
        <v>28</v>
      </c>
      <c r="C7" s="73">
        <v>134</v>
      </c>
      <c r="D7" s="73">
        <v>7.2328539999999997</v>
      </c>
      <c r="E7" s="73">
        <f t="shared" si="0"/>
        <v>969.20243599999992</v>
      </c>
      <c r="F7" s="181"/>
      <c r="G7" s="73">
        <v>166</v>
      </c>
      <c r="H7" s="73">
        <v>7.4</v>
      </c>
      <c r="I7" s="73">
        <f t="shared" si="1"/>
        <v>1228.4000000000001</v>
      </c>
      <c r="J7" s="181"/>
      <c r="K7" s="73">
        <v>161</v>
      </c>
      <c r="L7" s="73">
        <v>8.6008700000000005</v>
      </c>
      <c r="M7" s="73">
        <f t="shared" si="2"/>
        <v>1384.7400700000001</v>
      </c>
      <c r="O7" s="73">
        <f t="shared" si="3"/>
        <v>154</v>
      </c>
      <c r="P7" s="73">
        <f>VLOOKUP(W2,Y5:AC15,2,FALSE)</f>
        <v>11.03</v>
      </c>
      <c r="Q7" s="73">
        <f t="shared" si="4"/>
        <v>1698.62</v>
      </c>
      <c r="T7" s="73">
        <f>IF(T1="3.0V",O7, IF(T1="3.3V",O34))</f>
        <v>154</v>
      </c>
      <c r="U7" s="73">
        <f>ROUNDUP(IF(T1="3.0V",P7, IF(T1="3.3V",P34)),1)</f>
        <v>11.1</v>
      </c>
      <c r="V7" s="73">
        <f t="shared" si="5"/>
        <v>1709.3999999999999</v>
      </c>
      <c r="Y7" s="78">
        <v>2</v>
      </c>
      <c r="Z7" s="78">
        <f>'CC2745R10 GLDO'!AE70</f>
        <v>11.03</v>
      </c>
      <c r="AA7" s="78">
        <f>'CC2745R10 GLDO'!AC70</f>
        <v>21.257753000000001</v>
      </c>
      <c r="AB7" s="78">
        <f>'CC2745R10 DCDC'!AE18</f>
        <v>5.2103679999999999</v>
      </c>
      <c r="AC7" s="78">
        <f>'CC2745R10 GLDO'!AC18</f>
        <v>20.989185866556216</v>
      </c>
    </row>
    <row r="8" spans="1:29" s="132" customFormat="1" x14ac:dyDescent="0.25">
      <c r="A8" s="130">
        <v>5</v>
      </c>
      <c r="B8" s="130" t="s">
        <v>25</v>
      </c>
      <c r="C8" s="131">
        <v>47</v>
      </c>
      <c r="D8" s="131">
        <v>16.967310999999999</v>
      </c>
      <c r="E8" s="131">
        <f t="shared" si="0"/>
        <v>797.46361699999989</v>
      </c>
      <c r="F8" s="181"/>
      <c r="G8" s="131">
        <v>45</v>
      </c>
      <c r="H8" s="131">
        <v>12.953016</v>
      </c>
      <c r="I8" s="131">
        <f t="shared" si="1"/>
        <v>582.88571999999999</v>
      </c>
      <c r="J8" s="181"/>
      <c r="K8" s="131">
        <v>46</v>
      </c>
      <c r="L8" s="131">
        <v>19.100000000000001</v>
      </c>
      <c r="M8" s="131">
        <f t="shared" si="2"/>
        <v>878.6</v>
      </c>
      <c r="O8" s="131">
        <f t="shared" si="3"/>
        <v>46</v>
      </c>
      <c r="P8" s="131">
        <f>VLOOKUP(W2,Y5:AC15,3,FALSE)</f>
        <v>21.257753000000001</v>
      </c>
      <c r="Q8" s="131">
        <f t="shared" si="4"/>
        <v>977.85663800000009</v>
      </c>
      <c r="T8" s="131">
        <f>IF(T1="3.0V",O8, IF(T1="3.3V",O35))</f>
        <v>46</v>
      </c>
      <c r="U8" s="131">
        <f>ROUNDUP(IF(T1="3.0V",P8, IF(T1="3.3V",P35)),1)</f>
        <v>21.3</v>
      </c>
      <c r="V8" s="131">
        <f t="shared" si="5"/>
        <v>979.80000000000007</v>
      </c>
      <c r="Y8" s="78">
        <v>3</v>
      </c>
      <c r="Z8" s="78">
        <f>'CC2745R10 GLDO'!AE71</f>
        <v>11.8</v>
      </c>
      <c r="AA8" s="78">
        <f>'CC2745R10 GLDO'!AC71</f>
        <v>21.341958999999999</v>
      </c>
      <c r="AB8" s="78">
        <f>'CC2745R10 DCDC'!AE19</f>
        <v>5.213419</v>
      </c>
      <c r="AC8" s="78">
        <f>'CC2745R10 GLDO'!AC19</f>
        <v>21.072328021095277</v>
      </c>
    </row>
    <row r="9" spans="1:29" x14ac:dyDescent="0.25">
      <c r="A9" s="47">
        <v>6</v>
      </c>
      <c r="B9" s="47" t="s">
        <v>29</v>
      </c>
      <c r="C9" s="76">
        <v>288</v>
      </c>
      <c r="D9" s="76">
        <v>8.5029819999999994</v>
      </c>
      <c r="E9" s="75">
        <f t="shared" si="0"/>
        <v>2448.8588159999999</v>
      </c>
      <c r="F9" s="181"/>
      <c r="G9" s="76">
        <v>286</v>
      </c>
      <c r="H9" s="76">
        <v>8.6</v>
      </c>
      <c r="I9" s="75">
        <f t="shared" si="1"/>
        <v>2459.6</v>
      </c>
      <c r="J9" s="181"/>
      <c r="K9" s="76">
        <v>296</v>
      </c>
      <c r="L9" s="76">
        <v>8.8246660000000006</v>
      </c>
      <c r="M9" s="75">
        <f t="shared" si="2"/>
        <v>2612.1011360000002</v>
      </c>
      <c r="O9" s="76">
        <f t="shared" si="3"/>
        <v>290</v>
      </c>
      <c r="P9" s="76">
        <f>ROUNDUP(AVERAGE(D9,H9,L9),1)</f>
        <v>8.6999999999999993</v>
      </c>
      <c r="Q9" s="75">
        <f t="shared" si="4"/>
        <v>2523</v>
      </c>
      <c r="T9" s="76">
        <f>IF(T1="3.0V",O9, IF(T1="3.3V",O36))</f>
        <v>290</v>
      </c>
      <c r="U9" s="76">
        <f>IF(T1="3.0V",P9, IF(T1="3.3V",P36))</f>
        <v>8.6999999999999993</v>
      </c>
      <c r="V9" s="75">
        <f t="shared" si="5"/>
        <v>2523</v>
      </c>
      <c r="Y9" s="79">
        <v>4</v>
      </c>
      <c r="Z9" s="78">
        <f>'CC2745R10 GLDO'!AE72</f>
        <v>12.18</v>
      </c>
      <c r="AA9" s="155">
        <f>'CC2745R10 GLDO'!AC72</f>
        <v>22.467587999999999</v>
      </c>
      <c r="AB9" s="79">
        <f>'CC2745R10 DCDC'!AE20</f>
        <v>5.2356720000000001</v>
      </c>
      <c r="AC9" s="79">
        <f>'CC2745R10 GLDO'!AC20</f>
        <v>22.183736</v>
      </c>
    </row>
    <row r="10" spans="1:29" x14ac:dyDescent="0.25">
      <c r="A10" s="47">
        <v>7</v>
      </c>
      <c r="B10" s="47"/>
      <c r="C10" s="76"/>
      <c r="D10" s="76"/>
      <c r="E10" s="75">
        <f t="shared" si="0"/>
        <v>0</v>
      </c>
      <c r="F10" s="181"/>
      <c r="G10" s="76"/>
      <c r="H10" s="76"/>
      <c r="I10" s="75">
        <f t="shared" si="1"/>
        <v>0</v>
      </c>
      <c r="J10" s="181"/>
      <c r="K10" s="76"/>
      <c r="L10" s="76"/>
      <c r="M10" s="75">
        <f t="shared" si="2"/>
        <v>0</v>
      </c>
      <c r="O10" s="76"/>
      <c r="P10" s="76"/>
      <c r="Q10" s="75">
        <f t="shared" si="4"/>
        <v>0</v>
      </c>
      <c r="T10" s="76"/>
      <c r="U10" s="76"/>
      <c r="V10" s="75">
        <f t="shared" si="5"/>
        <v>0</v>
      </c>
      <c r="Y10" s="79">
        <v>5</v>
      </c>
      <c r="Z10" s="78">
        <f>'CC2745R10 GLDO'!AE73</f>
        <v>13.691584000000001</v>
      </c>
      <c r="AA10" s="78">
        <f>'CC2745R10 GLDO'!AC73</f>
        <v>25.331002000000002</v>
      </c>
      <c r="AB10" s="79">
        <f>'CC2745R10 DCDC'!AE21</f>
        <v>5.362374</v>
      </c>
      <c r="AC10" s="79">
        <f>'CC2745R10 GLDO'!AC21</f>
        <v>25.01097407445214</v>
      </c>
    </row>
    <row r="11" spans="1:29" x14ac:dyDescent="0.25">
      <c r="A11" s="47">
        <v>8</v>
      </c>
      <c r="B11" s="47"/>
      <c r="C11" s="76"/>
      <c r="D11" s="76"/>
      <c r="E11" s="75">
        <f t="shared" si="0"/>
        <v>0</v>
      </c>
      <c r="F11" s="181"/>
      <c r="G11" s="76"/>
      <c r="H11" s="76"/>
      <c r="I11" s="75">
        <f t="shared" si="1"/>
        <v>0</v>
      </c>
      <c r="J11" s="181"/>
      <c r="K11" s="76"/>
      <c r="L11" s="76"/>
      <c r="M11" s="75">
        <f t="shared" si="2"/>
        <v>0</v>
      </c>
      <c r="O11" s="76"/>
      <c r="P11" s="76"/>
      <c r="Q11" s="75">
        <f t="shared" si="4"/>
        <v>0</v>
      </c>
      <c r="T11" s="76"/>
      <c r="U11" s="76"/>
      <c r="V11" s="75">
        <f t="shared" si="5"/>
        <v>0</v>
      </c>
      <c r="Y11" s="79">
        <v>6</v>
      </c>
      <c r="Z11" s="79">
        <f>'CC2745R10 GLDO'!AE74</f>
        <v>14.699299</v>
      </c>
      <c r="AA11" s="155">
        <f>'CC2745R10 GLDO'!AC74</f>
        <v>40.433478000000001</v>
      </c>
      <c r="AB11" s="79">
        <f>'CC2745R10 DCDC'!AE22</f>
        <v>6.1745109999999999</v>
      </c>
      <c r="AC11" s="79">
        <f>'CC2745R10 GLDO'!AC22</f>
        <v>39.922647749896782</v>
      </c>
    </row>
    <row r="12" spans="1:29" x14ac:dyDescent="0.25">
      <c r="A12" s="47">
        <v>9</v>
      </c>
      <c r="B12" s="47"/>
      <c r="C12" s="76"/>
      <c r="D12" s="76"/>
      <c r="E12" s="75">
        <f t="shared" si="0"/>
        <v>0</v>
      </c>
      <c r="F12" s="181"/>
      <c r="G12" s="76"/>
      <c r="H12" s="76"/>
      <c r="I12" s="75">
        <f t="shared" si="1"/>
        <v>0</v>
      </c>
      <c r="J12" s="181"/>
      <c r="K12" s="76"/>
      <c r="L12" s="76"/>
      <c r="M12" s="75">
        <f t="shared" si="2"/>
        <v>0</v>
      </c>
      <c r="O12" s="76"/>
      <c r="P12" s="76"/>
      <c r="Q12" s="75">
        <f t="shared" si="4"/>
        <v>0</v>
      </c>
      <c r="T12" s="76"/>
      <c r="U12" s="76"/>
      <c r="V12" s="75">
        <f t="shared" si="5"/>
        <v>0</v>
      </c>
      <c r="Y12" s="79">
        <v>7</v>
      </c>
      <c r="Z12" s="78">
        <f>'CC2745R10 GLDO'!AE75</f>
        <v>14.972685999999999</v>
      </c>
      <c r="AA12" s="78">
        <f>'CC2745R10 GLDO'!AC75</f>
        <v>45.016686999999997</v>
      </c>
      <c r="AB12" s="79">
        <f>'CC2745R10 DCDC'!AE23</f>
        <v>6.5205890000000002</v>
      </c>
      <c r="AC12" s="79">
        <f>'CC2745R10 GLDO'!AC23</f>
        <v>44.447953202748415</v>
      </c>
    </row>
    <row r="13" spans="1:29" x14ac:dyDescent="0.25">
      <c r="A13" s="47">
        <v>10</v>
      </c>
      <c r="B13" s="47"/>
      <c r="C13" s="76"/>
      <c r="D13" s="76"/>
      <c r="E13" s="75">
        <f t="shared" si="0"/>
        <v>0</v>
      </c>
      <c r="F13" s="181"/>
      <c r="G13" s="76"/>
      <c r="H13" s="76"/>
      <c r="I13" s="75">
        <f t="shared" si="1"/>
        <v>0</v>
      </c>
      <c r="J13" s="181"/>
      <c r="K13" s="76"/>
      <c r="L13" s="76"/>
      <c r="M13" s="75">
        <f t="shared" si="2"/>
        <v>0</v>
      </c>
      <c r="O13" s="76"/>
      <c r="P13" s="76"/>
      <c r="Q13" s="75">
        <f t="shared" si="4"/>
        <v>0</v>
      </c>
      <c r="T13" s="76"/>
      <c r="U13" s="76"/>
      <c r="V13" s="75">
        <f t="shared" si="5"/>
        <v>0</v>
      </c>
      <c r="Y13" s="79">
        <v>8</v>
      </c>
      <c r="Z13" s="78">
        <f>'CC2745R10 GLDO'!AE76</f>
        <v>16.323270999999998</v>
      </c>
      <c r="AA13" s="78">
        <f>'CC2745R10 GLDO'!AC76</f>
        <v>47.8</v>
      </c>
      <c r="AB13" s="79">
        <f>'CC2745R10 DCDC'!AE24</f>
        <v>6.11</v>
      </c>
      <c r="AC13" s="79">
        <f>'CC2745R10 GLDO'!AC24</f>
        <v>47.196102260732211</v>
      </c>
    </row>
    <row r="14" spans="1:29" x14ac:dyDescent="0.25">
      <c r="A14" s="47">
        <v>11</v>
      </c>
      <c r="B14" s="47"/>
      <c r="C14" s="76"/>
      <c r="D14" s="76"/>
      <c r="E14" s="75">
        <f t="shared" si="0"/>
        <v>0</v>
      </c>
      <c r="F14" s="181"/>
      <c r="G14" s="76"/>
      <c r="H14" s="76"/>
      <c r="I14" s="75">
        <f t="shared" si="1"/>
        <v>0</v>
      </c>
      <c r="J14" s="181"/>
      <c r="K14" s="76"/>
      <c r="L14" s="76"/>
      <c r="M14" s="75">
        <f t="shared" si="2"/>
        <v>0</v>
      </c>
      <c r="O14" s="76"/>
      <c r="P14" s="76"/>
      <c r="Q14" s="75">
        <f t="shared" si="4"/>
        <v>0</v>
      </c>
      <c r="T14" s="76"/>
      <c r="U14" s="76"/>
      <c r="V14" s="75">
        <f t="shared" si="5"/>
        <v>0</v>
      </c>
      <c r="Y14" s="79">
        <v>9</v>
      </c>
      <c r="Z14" s="78">
        <f>'CC2745R10 GLDO'!AE77</f>
        <v>17.100000000000001</v>
      </c>
      <c r="AA14" s="78">
        <f>'CC2745R10 GLDO'!AC77</f>
        <v>48.085529000000001</v>
      </c>
      <c r="AB14" s="79">
        <f>'CC2745R10 DCDC'!AE25</f>
        <v>7.341825</v>
      </c>
      <c r="AC14" s="79">
        <f>'CC2745R10 GLDO'!AC25</f>
        <v>47.478023931912226</v>
      </c>
    </row>
    <row r="15" spans="1:29" x14ac:dyDescent="0.25">
      <c r="A15" s="47">
        <v>12</v>
      </c>
      <c r="B15" s="47"/>
      <c r="C15" s="76"/>
      <c r="D15" s="76"/>
      <c r="E15" s="75">
        <f t="shared" si="0"/>
        <v>0</v>
      </c>
      <c r="F15" s="181"/>
      <c r="G15" s="76"/>
      <c r="H15" s="76"/>
      <c r="I15" s="75">
        <f t="shared" si="1"/>
        <v>0</v>
      </c>
      <c r="J15" s="181"/>
      <c r="K15" s="76"/>
      <c r="L15" s="76"/>
      <c r="M15" s="75">
        <f t="shared" si="2"/>
        <v>0</v>
      </c>
      <c r="O15" s="76"/>
      <c r="P15" s="76"/>
      <c r="Q15" s="75">
        <f t="shared" si="4"/>
        <v>0</v>
      </c>
      <c r="T15" s="76"/>
      <c r="U15" s="76"/>
      <c r="V15" s="75">
        <f t="shared" si="5"/>
        <v>0</v>
      </c>
      <c r="Y15" s="79">
        <v>10</v>
      </c>
      <c r="Z15" s="79">
        <f>'CC2745R10 GLDO'!AE78</f>
        <v>18.471979999999999</v>
      </c>
      <c r="AA15" s="79">
        <f>'CC2745R10 GLDO'!AC78</f>
        <v>54.589064</v>
      </c>
      <c r="AB15" s="79">
        <f>'CC2745R10 DCDC'!AE26</f>
        <v>8.1178880000000007</v>
      </c>
      <c r="AC15" s="79">
        <f>'CC2745R10 GLDO'!AC26</f>
        <v>53.89939428580869</v>
      </c>
    </row>
    <row r="16" spans="1:29" x14ac:dyDescent="0.25">
      <c r="A16" s="47">
        <v>13</v>
      </c>
      <c r="B16" s="47"/>
      <c r="C16" s="76"/>
      <c r="D16" s="76"/>
      <c r="E16" s="75">
        <f t="shared" si="0"/>
        <v>0</v>
      </c>
      <c r="F16" s="181"/>
      <c r="G16" s="76"/>
      <c r="H16" s="76"/>
      <c r="I16" s="75">
        <f t="shared" si="1"/>
        <v>0</v>
      </c>
      <c r="J16" s="181"/>
      <c r="K16" s="76"/>
      <c r="L16" s="76"/>
      <c r="M16" s="75">
        <f t="shared" si="2"/>
        <v>0</v>
      </c>
      <c r="O16" s="76"/>
      <c r="P16" s="76"/>
      <c r="Q16" s="75">
        <f t="shared" si="4"/>
        <v>0</v>
      </c>
      <c r="T16" s="76"/>
      <c r="U16" s="76"/>
      <c r="V16" s="75">
        <f t="shared" si="5"/>
        <v>0</v>
      </c>
    </row>
    <row r="17" spans="1:22" x14ac:dyDescent="0.25">
      <c r="A17" s="47">
        <v>14</v>
      </c>
      <c r="B17" s="47"/>
      <c r="C17" s="76"/>
      <c r="D17" s="76"/>
      <c r="E17" s="75">
        <f t="shared" si="0"/>
        <v>0</v>
      </c>
      <c r="F17" s="181"/>
      <c r="G17" s="76"/>
      <c r="H17" s="76"/>
      <c r="I17" s="75">
        <f t="shared" si="1"/>
        <v>0</v>
      </c>
      <c r="J17" s="181"/>
      <c r="K17" s="76"/>
      <c r="L17" s="76"/>
      <c r="M17" s="75">
        <f t="shared" si="2"/>
        <v>0</v>
      </c>
      <c r="O17" s="76"/>
      <c r="P17" s="76"/>
      <c r="Q17" s="75">
        <f t="shared" si="4"/>
        <v>0</v>
      </c>
      <c r="T17" s="76"/>
      <c r="U17" s="76"/>
      <c r="V17" s="75">
        <f t="shared" si="5"/>
        <v>0</v>
      </c>
    </row>
    <row r="18" spans="1:22" x14ac:dyDescent="0.25">
      <c r="A18" s="47">
        <v>15</v>
      </c>
      <c r="B18" s="47"/>
      <c r="C18" s="76"/>
      <c r="D18" s="76"/>
      <c r="E18" s="75"/>
      <c r="F18" s="181"/>
      <c r="G18" s="76"/>
      <c r="H18" s="76"/>
      <c r="I18" s="75"/>
      <c r="J18" s="181"/>
      <c r="K18" s="76"/>
      <c r="L18" s="76"/>
      <c r="M18" s="75"/>
      <c r="O18" s="76"/>
      <c r="P18" s="76"/>
      <c r="Q18" s="75"/>
      <c r="T18" s="76"/>
      <c r="U18" s="76"/>
      <c r="V18" s="75"/>
    </row>
    <row r="19" spans="1:22" x14ac:dyDescent="0.25">
      <c r="A19" s="32"/>
      <c r="B19" s="47" t="s">
        <v>56</v>
      </c>
      <c r="C19" s="169">
        <f>SUM(C4:C17)</f>
        <v>1211</v>
      </c>
      <c r="D19" s="170"/>
      <c r="E19" s="171"/>
      <c r="F19" s="181"/>
      <c r="G19" s="177">
        <f>SUM(G4:G17)</f>
        <v>1253</v>
      </c>
      <c r="H19" s="178"/>
      <c r="I19" s="179"/>
      <c r="J19" s="181"/>
      <c r="K19" s="177">
        <f>SUM(K4:K17)</f>
        <v>1268</v>
      </c>
      <c r="L19" s="178"/>
      <c r="M19" s="179"/>
      <c r="O19" s="177">
        <f>SUM(O4:O17)</f>
        <v>1245</v>
      </c>
      <c r="P19" s="178"/>
      <c r="Q19" s="179"/>
      <c r="T19" s="177">
        <f>SUM(T4:T17)</f>
        <v>1245</v>
      </c>
      <c r="U19" s="178"/>
      <c r="V19" s="179"/>
    </row>
    <row r="20" spans="1:22" x14ac:dyDescent="0.25">
      <c r="A20" s="32"/>
      <c r="B20" s="47" t="s">
        <v>57</v>
      </c>
      <c r="C20" s="169">
        <f>SUM(E4:E17)/C19</f>
        <v>9.5541687332782814</v>
      </c>
      <c r="D20" s="170"/>
      <c r="E20" s="171"/>
      <c r="F20" s="182"/>
      <c r="G20" s="177">
        <f>SUM(I4:I17)/G19</f>
        <v>9.3306999688747005</v>
      </c>
      <c r="H20" s="178"/>
      <c r="I20" s="179"/>
      <c r="J20" s="182"/>
      <c r="K20" s="177">
        <f>SUM(M4:M17)/K19</f>
        <v>9.6135943801261821</v>
      </c>
      <c r="L20" s="178"/>
      <c r="M20" s="179"/>
      <c r="O20" s="177">
        <f>SUM(Q4:Q17)/O19</f>
        <v>10.121266375903613</v>
      </c>
      <c r="P20" s="178"/>
      <c r="Q20" s="179"/>
      <c r="T20" s="177">
        <f>SUM(V4:V17)/T19</f>
        <v>10.1314859437751</v>
      </c>
      <c r="U20" s="178"/>
      <c r="V20" s="179"/>
    </row>
    <row r="21" spans="1:22" x14ac:dyDescent="0.25">
      <c r="D21" t="s">
        <v>61</v>
      </c>
      <c r="E21" t="s">
        <v>62</v>
      </c>
      <c r="H21" t="s">
        <v>61</v>
      </c>
      <c r="I21" t="s">
        <v>62</v>
      </c>
      <c r="L21" t="s">
        <v>61</v>
      </c>
      <c r="M21" t="s">
        <v>62</v>
      </c>
      <c r="P21" t="s">
        <v>61</v>
      </c>
      <c r="Q21" t="s">
        <v>62</v>
      </c>
      <c r="U21" t="s">
        <v>61</v>
      </c>
      <c r="V21" t="s">
        <v>62</v>
      </c>
    </row>
    <row r="22" spans="1:22" x14ac:dyDescent="0.25">
      <c r="B22" s="47" t="s">
        <v>60</v>
      </c>
      <c r="C22" s="76"/>
      <c r="D22" s="76"/>
      <c r="E22" s="75"/>
      <c r="G22" s="76"/>
      <c r="H22" s="76"/>
      <c r="I22" s="75"/>
      <c r="K22" s="76"/>
      <c r="L22" s="76"/>
      <c r="M22" s="75"/>
      <c r="O22" s="76">
        <v>16427</v>
      </c>
      <c r="P22" s="76">
        <v>5.4649000000000003E-2</v>
      </c>
      <c r="Q22" s="75">
        <f>-NU885</f>
        <v>0</v>
      </c>
      <c r="T22" s="76">
        <v>16427</v>
      </c>
      <c r="U22" s="76">
        <v>5.4649000000000003E-2</v>
      </c>
      <c r="V22" s="75">
        <f>-NZ885</f>
        <v>0</v>
      </c>
    </row>
    <row r="23" spans="1:22" x14ac:dyDescent="0.25">
      <c r="D23" t="s">
        <v>68</v>
      </c>
      <c r="P23" t="s">
        <v>70</v>
      </c>
      <c r="U23" t="s">
        <v>70</v>
      </c>
    </row>
    <row r="25" spans="1:22" x14ac:dyDescent="0.25">
      <c r="C25" t="s">
        <v>93</v>
      </c>
      <c r="D25" t="s">
        <v>94</v>
      </c>
      <c r="G25" t="s">
        <v>95</v>
      </c>
      <c r="H25" t="s">
        <v>96</v>
      </c>
    </row>
    <row r="28" spans="1:22" x14ac:dyDescent="0.25">
      <c r="A28" s="167" t="s">
        <v>121</v>
      </c>
      <c r="B28" s="167"/>
      <c r="C28" s="167" t="s">
        <v>122</v>
      </c>
      <c r="D28" s="167"/>
      <c r="E28" s="167"/>
      <c r="F28" s="180"/>
      <c r="G28" s="167" t="s">
        <v>123</v>
      </c>
      <c r="H28" s="167"/>
      <c r="I28" s="167"/>
      <c r="J28" s="180"/>
      <c r="K28" s="167" t="s">
        <v>124</v>
      </c>
      <c r="L28" s="167"/>
      <c r="M28" s="167"/>
      <c r="O28" s="167" t="s">
        <v>237</v>
      </c>
      <c r="P28" s="167"/>
      <c r="Q28" s="167"/>
    </row>
    <row r="29" spans="1:22" x14ac:dyDescent="0.25">
      <c r="A29" s="167"/>
      <c r="B29" s="167"/>
      <c r="C29" s="167"/>
      <c r="D29" s="167"/>
      <c r="E29" s="167"/>
      <c r="F29" s="181"/>
      <c r="G29" s="167"/>
      <c r="H29" s="167"/>
      <c r="I29" s="167"/>
      <c r="J29" s="181"/>
      <c r="K29" s="167"/>
      <c r="L29" s="167"/>
      <c r="M29" s="167"/>
      <c r="O29" s="167"/>
      <c r="P29" s="167"/>
      <c r="Q29" s="167"/>
    </row>
    <row r="30" spans="1:22" x14ac:dyDescent="0.25">
      <c r="A30" s="47"/>
      <c r="B30" s="47" t="s">
        <v>19</v>
      </c>
      <c r="C30" s="75" t="s">
        <v>53</v>
      </c>
      <c r="D30" s="75" t="s">
        <v>54</v>
      </c>
      <c r="E30" s="75" t="s">
        <v>55</v>
      </c>
      <c r="F30" s="181"/>
      <c r="G30" s="75" t="s">
        <v>53</v>
      </c>
      <c r="H30" s="75" t="s">
        <v>54</v>
      </c>
      <c r="I30" s="75" t="s">
        <v>55</v>
      </c>
      <c r="J30" s="181"/>
      <c r="K30" s="75" t="s">
        <v>53</v>
      </c>
      <c r="L30" s="75" t="s">
        <v>54</v>
      </c>
      <c r="M30" s="75" t="s">
        <v>55</v>
      </c>
      <c r="O30" s="75" t="s">
        <v>53</v>
      </c>
      <c r="P30" s="75" t="s">
        <v>54</v>
      </c>
      <c r="Q30" s="75" t="s">
        <v>55</v>
      </c>
    </row>
    <row r="31" spans="1:22" x14ac:dyDescent="0.25">
      <c r="A31" s="47">
        <v>1</v>
      </c>
      <c r="B31" s="47" t="s">
        <v>35</v>
      </c>
      <c r="C31" s="76">
        <v>286</v>
      </c>
      <c r="D31" s="76">
        <v>4.2068750000000001</v>
      </c>
      <c r="E31" s="75">
        <f>C31*D31</f>
        <v>1203.16625</v>
      </c>
      <c r="F31" s="181"/>
      <c r="G31" s="76">
        <v>270</v>
      </c>
      <c r="H31" s="76">
        <v>4.0123899999999999</v>
      </c>
      <c r="I31" s="75">
        <f>G31*H31</f>
        <v>1083.3453</v>
      </c>
      <c r="J31" s="181"/>
      <c r="K31" s="76">
        <v>293</v>
      </c>
      <c r="L31" s="76">
        <v>3.9006370000000001</v>
      </c>
      <c r="M31" s="75">
        <f>K31*L31</f>
        <v>1142.8866410000001</v>
      </c>
      <c r="O31" s="76">
        <f t="shared" ref="O31:O36" si="6">ROUNDUP(AVERAGE(G86,G136),0)</f>
        <v>285</v>
      </c>
      <c r="P31" s="76">
        <f>ROUNDUP(AVERAGE(H86,H136),1)</f>
        <v>7.3</v>
      </c>
      <c r="Q31" s="75">
        <f>O31*P31</f>
        <v>2080.5</v>
      </c>
    </row>
    <row r="32" spans="1:22" x14ac:dyDescent="0.25">
      <c r="A32" s="47">
        <v>2</v>
      </c>
      <c r="B32" s="47" t="s">
        <v>36</v>
      </c>
      <c r="C32" s="76">
        <v>137</v>
      </c>
      <c r="D32" s="76">
        <v>4.002707</v>
      </c>
      <c r="E32" s="75">
        <f t="shared" ref="E32:E44" si="7">C32*D32</f>
        <v>548.370859</v>
      </c>
      <c r="F32" s="181"/>
      <c r="G32" s="76">
        <v>136</v>
      </c>
      <c r="H32" s="76">
        <v>3.8909910000000001</v>
      </c>
      <c r="I32" s="75">
        <f t="shared" ref="I32:I44" si="8">G32*H32</f>
        <v>529.17477600000007</v>
      </c>
      <c r="J32" s="181"/>
      <c r="K32" s="76">
        <v>133</v>
      </c>
      <c r="L32" s="76">
        <v>3.9927160000000002</v>
      </c>
      <c r="M32" s="75">
        <f t="shared" ref="M32:M44" si="9">K32*L32</f>
        <v>531.03122800000006</v>
      </c>
      <c r="O32" s="76">
        <f t="shared" si="6"/>
        <v>145</v>
      </c>
      <c r="P32" s="76">
        <f>ROUNDUP(AVERAGE(H87,H137),1)</f>
        <v>8.1</v>
      </c>
      <c r="Q32" s="75">
        <f t="shared" ref="Q32:Q44" si="10">O32*P32</f>
        <v>1174.5</v>
      </c>
    </row>
    <row r="33" spans="1:17" x14ac:dyDescent="0.25">
      <c r="A33" s="47">
        <v>3</v>
      </c>
      <c r="B33" s="47" t="s">
        <v>27</v>
      </c>
      <c r="C33" s="76">
        <v>324</v>
      </c>
      <c r="D33" s="76">
        <v>7.2650110000000003</v>
      </c>
      <c r="E33" s="75">
        <f t="shared" si="7"/>
        <v>2353.8635640000002</v>
      </c>
      <c r="F33" s="181"/>
      <c r="G33" s="76">
        <v>325</v>
      </c>
      <c r="H33" s="76">
        <v>7.2694429999999999</v>
      </c>
      <c r="I33" s="75">
        <f t="shared" si="8"/>
        <v>2362.5689750000001</v>
      </c>
      <c r="J33" s="181"/>
      <c r="K33" s="76">
        <v>321</v>
      </c>
      <c r="L33" s="76">
        <v>7.1819620000000004</v>
      </c>
      <c r="M33" s="75">
        <f t="shared" si="9"/>
        <v>2305.4098020000001</v>
      </c>
      <c r="O33" s="76">
        <f t="shared" si="6"/>
        <v>326</v>
      </c>
      <c r="P33" s="76">
        <f>ROUNDUP(AVERAGE(H88,H138),1)</f>
        <v>13.7</v>
      </c>
      <c r="Q33" s="75">
        <f t="shared" si="10"/>
        <v>4466.2</v>
      </c>
    </row>
    <row r="34" spans="1:17" s="120" customFormat="1" x14ac:dyDescent="0.25">
      <c r="A34" s="129">
        <v>4</v>
      </c>
      <c r="B34" s="129" t="s">
        <v>28</v>
      </c>
      <c r="C34" s="73">
        <v>141</v>
      </c>
      <c r="D34" s="73">
        <v>4.9827839999999997</v>
      </c>
      <c r="E34" s="73">
        <f t="shared" si="7"/>
        <v>702.57254399999999</v>
      </c>
      <c r="F34" s="181"/>
      <c r="G34" s="73">
        <v>141</v>
      </c>
      <c r="H34" s="73">
        <v>4.4086999999999996</v>
      </c>
      <c r="I34" s="73">
        <f t="shared" si="8"/>
        <v>621.62669999999991</v>
      </c>
      <c r="J34" s="181"/>
      <c r="K34" s="73">
        <v>149</v>
      </c>
      <c r="L34" s="73">
        <v>7.3055690000000002</v>
      </c>
      <c r="M34" s="73">
        <f t="shared" si="9"/>
        <v>1088.529781</v>
      </c>
      <c r="O34" s="73">
        <f t="shared" si="6"/>
        <v>143</v>
      </c>
      <c r="P34" s="73">
        <f>VLOOKUP(W2,Y5:AC15,4,FALSE)</f>
        <v>5.2103679999999999</v>
      </c>
      <c r="Q34" s="73">
        <f t="shared" si="10"/>
        <v>745.08262400000001</v>
      </c>
    </row>
    <row r="35" spans="1:17" s="132" customFormat="1" x14ac:dyDescent="0.25">
      <c r="A35" s="130">
        <v>5</v>
      </c>
      <c r="B35" s="130" t="s">
        <v>25</v>
      </c>
      <c r="C35" s="131">
        <v>38</v>
      </c>
      <c r="D35" s="131">
        <v>12.009938</v>
      </c>
      <c r="E35" s="131">
        <f t="shared" si="7"/>
        <v>456.37764399999998</v>
      </c>
      <c r="F35" s="181"/>
      <c r="G35" s="131">
        <v>38</v>
      </c>
      <c r="H35" s="131">
        <v>8.943346</v>
      </c>
      <c r="I35" s="131">
        <f t="shared" si="8"/>
        <v>339.847148</v>
      </c>
      <c r="J35" s="181"/>
      <c r="K35" s="131">
        <v>35</v>
      </c>
      <c r="L35" s="131">
        <v>31.824110999999998</v>
      </c>
      <c r="M35" s="131">
        <f t="shared" si="9"/>
        <v>1113.843885</v>
      </c>
      <c r="O35" s="131">
        <f t="shared" si="6"/>
        <v>43</v>
      </c>
      <c r="P35" s="131">
        <f>VLOOKUP(W2,Y5:AC15,5,FALSE)</f>
        <v>20.989185866556216</v>
      </c>
      <c r="Q35" s="131">
        <f t="shared" si="10"/>
        <v>902.5349922619173</v>
      </c>
    </row>
    <row r="36" spans="1:17" x14ac:dyDescent="0.25">
      <c r="A36" s="47">
        <v>6</v>
      </c>
      <c r="B36" s="47" t="s">
        <v>29</v>
      </c>
      <c r="C36" s="76">
        <v>304</v>
      </c>
      <c r="D36" s="76">
        <v>5.3668550000000002</v>
      </c>
      <c r="E36" s="75">
        <f t="shared" si="7"/>
        <v>1631.5239200000001</v>
      </c>
      <c r="F36" s="181"/>
      <c r="G36" s="76">
        <v>294</v>
      </c>
      <c r="H36" s="76">
        <v>5.3072520000000001</v>
      </c>
      <c r="I36" s="75">
        <f t="shared" si="8"/>
        <v>1560.3320880000001</v>
      </c>
      <c r="J36" s="181"/>
      <c r="K36" s="76">
        <v>291</v>
      </c>
      <c r="L36" s="76">
        <v>6.1438550000000003</v>
      </c>
      <c r="M36" s="75">
        <f t="shared" si="9"/>
        <v>1787.861805</v>
      </c>
      <c r="O36" s="76">
        <f t="shared" si="6"/>
        <v>294</v>
      </c>
      <c r="P36" s="76">
        <f>ROUNDUP(AVERAGE(H91,H141),2)</f>
        <v>8.8000000000000007</v>
      </c>
      <c r="Q36" s="75">
        <f t="shared" si="10"/>
        <v>2587.2000000000003</v>
      </c>
    </row>
    <row r="37" spans="1:17" x14ac:dyDescent="0.25">
      <c r="A37" s="47">
        <v>7</v>
      </c>
      <c r="B37" s="47"/>
      <c r="C37" s="76"/>
      <c r="D37" s="76"/>
      <c r="E37" s="75">
        <f t="shared" si="7"/>
        <v>0</v>
      </c>
      <c r="F37" s="181"/>
      <c r="G37" s="76"/>
      <c r="H37" s="76"/>
      <c r="I37" s="75">
        <f t="shared" si="8"/>
        <v>0</v>
      </c>
      <c r="J37" s="181"/>
      <c r="K37" s="76"/>
      <c r="L37" s="76"/>
      <c r="M37" s="75">
        <f t="shared" si="9"/>
        <v>0</v>
      </c>
      <c r="O37" s="76"/>
      <c r="P37" s="76"/>
      <c r="Q37" s="75">
        <f t="shared" si="10"/>
        <v>0</v>
      </c>
    </row>
    <row r="38" spans="1:17" x14ac:dyDescent="0.25">
      <c r="A38" s="47">
        <v>8</v>
      </c>
      <c r="B38" s="47"/>
      <c r="C38" s="76"/>
      <c r="D38" s="76"/>
      <c r="E38" s="75">
        <f t="shared" si="7"/>
        <v>0</v>
      </c>
      <c r="F38" s="181"/>
      <c r="G38" s="76"/>
      <c r="H38" s="76"/>
      <c r="I38" s="75">
        <f t="shared" si="8"/>
        <v>0</v>
      </c>
      <c r="J38" s="181"/>
      <c r="K38" s="76"/>
      <c r="L38" s="76"/>
      <c r="M38" s="75">
        <f t="shared" si="9"/>
        <v>0</v>
      </c>
      <c r="O38" s="76"/>
      <c r="P38" s="76"/>
      <c r="Q38" s="75">
        <f t="shared" si="10"/>
        <v>0</v>
      </c>
    </row>
    <row r="39" spans="1:17" x14ac:dyDescent="0.25">
      <c r="A39" s="47">
        <v>9</v>
      </c>
      <c r="B39" s="47"/>
      <c r="C39" s="76"/>
      <c r="D39" s="76"/>
      <c r="E39" s="75">
        <f t="shared" si="7"/>
        <v>0</v>
      </c>
      <c r="F39" s="181"/>
      <c r="G39" s="76"/>
      <c r="H39" s="76"/>
      <c r="I39" s="75">
        <f t="shared" si="8"/>
        <v>0</v>
      </c>
      <c r="J39" s="181"/>
      <c r="K39" s="76"/>
      <c r="L39" s="76"/>
      <c r="M39" s="75">
        <f t="shared" si="9"/>
        <v>0</v>
      </c>
      <c r="O39" s="76"/>
      <c r="P39" s="76"/>
      <c r="Q39" s="75">
        <f t="shared" si="10"/>
        <v>0</v>
      </c>
    </row>
    <row r="40" spans="1:17" x14ac:dyDescent="0.25">
      <c r="A40" s="47">
        <v>10</v>
      </c>
      <c r="B40" s="47"/>
      <c r="C40" s="76"/>
      <c r="D40" s="76"/>
      <c r="E40" s="75">
        <f t="shared" si="7"/>
        <v>0</v>
      </c>
      <c r="F40" s="181"/>
      <c r="G40" s="76"/>
      <c r="H40" s="76"/>
      <c r="I40" s="75">
        <f t="shared" si="8"/>
        <v>0</v>
      </c>
      <c r="J40" s="181"/>
      <c r="K40" s="76"/>
      <c r="L40" s="76"/>
      <c r="M40" s="75">
        <f t="shared" si="9"/>
        <v>0</v>
      </c>
      <c r="O40" s="76"/>
      <c r="P40" s="76"/>
      <c r="Q40" s="75">
        <f t="shared" si="10"/>
        <v>0</v>
      </c>
    </row>
    <row r="41" spans="1:17" x14ac:dyDescent="0.25">
      <c r="A41" s="47">
        <v>11</v>
      </c>
      <c r="B41" s="47"/>
      <c r="C41" s="76"/>
      <c r="D41" s="76"/>
      <c r="E41" s="75">
        <f t="shared" si="7"/>
        <v>0</v>
      </c>
      <c r="F41" s="181"/>
      <c r="G41" s="76"/>
      <c r="H41" s="76"/>
      <c r="I41" s="75">
        <f t="shared" si="8"/>
        <v>0</v>
      </c>
      <c r="J41" s="181"/>
      <c r="K41" s="76"/>
      <c r="L41" s="76"/>
      <c r="M41" s="75">
        <f t="shared" si="9"/>
        <v>0</v>
      </c>
      <c r="O41" s="76"/>
      <c r="P41" s="76"/>
      <c r="Q41" s="75">
        <f t="shared" si="10"/>
        <v>0</v>
      </c>
    </row>
    <row r="42" spans="1:17" x14ac:dyDescent="0.25">
      <c r="A42" s="47">
        <v>12</v>
      </c>
      <c r="B42" s="47"/>
      <c r="C42" s="76"/>
      <c r="D42" s="76"/>
      <c r="E42" s="75">
        <f t="shared" si="7"/>
        <v>0</v>
      </c>
      <c r="F42" s="181"/>
      <c r="G42" s="76"/>
      <c r="H42" s="76"/>
      <c r="I42" s="75">
        <f t="shared" si="8"/>
        <v>0</v>
      </c>
      <c r="J42" s="181"/>
      <c r="K42" s="76"/>
      <c r="L42" s="76"/>
      <c r="M42" s="75">
        <f t="shared" si="9"/>
        <v>0</v>
      </c>
      <c r="O42" s="76"/>
      <c r="P42" s="76"/>
      <c r="Q42" s="75">
        <f t="shared" si="10"/>
        <v>0</v>
      </c>
    </row>
    <row r="43" spans="1:17" x14ac:dyDescent="0.25">
      <c r="A43" s="47">
        <v>13</v>
      </c>
      <c r="B43" s="47"/>
      <c r="C43" s="76"/>
      <c r="D43" s="76"/>
      <c r="E43" s="75">
        <f t="shared" si="7"/>
        <v>0</v>
      </c>
      <c r="F43" s="181"/>
      <c r="G43" s="76"/>
      <c r="H43" s="76"/>
      <c r="I43" s="75">
        <f t="shared" si="8"/>
        <v>0</v>
      </c>
      <c r="J43" s="181"/>
      <c r="K43" s="76"/>
      <c r="L43" s="76"/>
      <c r="M43" s="75">
        <f t="shared" si="9"/>
        <v>0</v>
      </c>
      <c r="O43" s="76"/>
      <c r="P43" s="76"/>
      <c r="Q43" s="75">
        <f t="shared" si="10"/>
        <v>0</v>
      </c>
    </row>
    <row r="44" spans="1:17" x14ac:dyDescent="0.25">
      <c r="A44" s="47">
        <v>14</v>
      </c>
      <c r="B44" s="47"/>
      <c r="C44" s="76"/>
      <c r="D44" s="76"/>
      <c r="E44" s="75">
        <f t="shared" si="7"/>
        <v>0</v>
      </c>
      <c r="F44" s="181"/>
      <c r="G44" s="76"/>
      <c r="H44" s="76"/>
      <c r="I44" s="75">
        <f t="shared" si="8"/>
        <v>0</v>
      </c>
      <c r="J44" s="181"/>
      <c r="K44" s="76"/>
      <c r="L44" s="76"/>
      <c r="M44" s="75">
        <f t="shared" si="9"/>
        <v>0</v>
      </c>
      <c r="O44" s="76"/>
      <c r="P44" s="76"/>
      <c r="Q44" s="75">
        <f t="shared" si="10"/>
        <v>0</v>
      </c>
    </row>
    <row r="45" spans="1:17" x14ac:dyDescent="0.25">
      <c r="A45" s="47">
        <v>15</v>
      </c>
      <c r="B45" s="47"/>
      <c r="C45" s="76"/>
      <c r="D45" s="76"/>
      <c r="E45" s="75"/>
      <c r="F45" s="181"/>
      <c r="G45" s="76"/>
      <c r="H45" s="76"/>
      <c r="I45" s="75"/>
      <c r="J45" s="181"/>
      <c r="K45" s="76"/>
      <c r="L45" s="76"/>
      <c r="M45" s="75"/>
      <c r="O45" s="76"/>
      <c r="P45" s="76"/>
      <c r="Q45" s="75"/>
    </row>
    <row r="46" spans="1:17" x14ac:dyDescent="0.25">
      <c r="A46" s="32"/>
      <c r="B46" s="47" t="s">
        <v>56</v>
      </c>
      <c r="C46" s="169">
        <f>SUM(C31:C44)</f>
        <v>1230</v>
      </c>
      <c r="D46" s="170"/>
      <c r="E46" s="171"/>
      <c r="F46" s="181"/>
      <c r="G46" s="177">
        <f>SUM(G31:G44)</f>
        <v>1204</v>
      </c>
      <c r="H46" s="178"/>
      <c r="I46" s="179"/>
      <c r="J46" s="181"/>
      <c r="K46" s="177">
        <f>SUM(K31:K44)</f>
        <v>1222</v>
      </c>
      <c r="L46" s="178"/>
      <c r="M46" s="179"/>
      <c r="O46" s="177">
        <f>SUM(O31:O44)</f>
        <v>1236</v>
      </c>
      <c r="P46" s="178"/>
      <c r="Q46" s="179"/>
    </row>
    <row r="47" spans="1:17" x14ac:dyDescent="0.25">
      <c r="A47" s="32"/>
      <c r="B47" s="47" t="s">
        <v>57</v>
      </c>
      <c r="C47" s="169">
        <f>SUM(E31:E44)/C46</f>
        <v>5.6064022609756101</v>
      </c>
      <c r="D47" s="170"/>
      <c r="E47" s="171"/>
      <c r="F47" s="182"/>
      <c r="G47" s="177">
        <f>SUM(I31:I44)/G46</f>
        <v>5.3960921818936871</v>
      </c>
      <c r="H47" s="178"/>
      <c r="I47" s="179"/>
      <c r="J47" s="182"/>
      <c r="K47" s="177">
        <f>SUM(M31:M44)/K46</f>
        <v>6.5217374320785604</v>
      </c>
      <c r="L47" s="178"/>
      <c r="M47" s="179"/>
      <c r="O47" s="177">
        <f>SUM(Q31:Q44)/O46</f>
        <v>9.6731534112151429</v>
      </c>
      <c r="P47" s="178"/>
      <c r="Q47" s="179"/>
    </row>
    <row r="48" spans="1:17" x14ac:dyDescent="0.25">
      <c r="D48" t="s">
        <v>61</v>
      </c>
      <c r="E48" t="s">
        <v>62</v>
      </c>
      <c r="H48" t="s">
        <v>61</v>
      </c>
      <c r="I48" t="s">
        <v>62</v>
      </c>
      <c r="L48" t="s">
        <v>61</v>
      </c>
      <c r="M48" t="s">
        <v>62</v>
      </c>
      <c r="P48" t="s">
        <v>61</v>
      </c>
      <c r="Q48" t="s">
        <v>62</v>
      </c>
    </row>
    <row r="49" spans="1:17" x14ac:dyDescent="0.25">
      <c r="B49" s="47" t="s">
        <v>60</v>
      </c>
      <c r="C49" s="76">
        <v>22102</v>
      </c>
      <c r="D49" s="76">
        <v>2.0358999999999999E-2</v>
      </c>
      <c r="E49" s="75">
        <f>-NI912</f>
        <v>0</v>
      </c>
      <c r="G49" s="76">
        <v>28790</v>
      </c>
      <c r="H49" s="76">
        <v>0.27974399999999999</v>
      </c>
      <c r="I49" s="75">
        <v>2.4889000000000001E-2</v>
      </c>
      <c r="K49" s="76">
        <v>28811</v>
      </c>
      <c r="L49" s="76">
        <v>0.305176</v>
      </c>
      <c r="M49" s="75">
        <v>2.8802000000000001E-2</v>
      </c>
      <c r="O49" s="76">
        <v>16427</v>
      </c>
      <c r="P49" s="76">
        <v>5.4649000000000003E-2</v>
      </c>
      <c r="Q49" s="75">
        <f>-NU912</f>
        <v>0</v>
      </c>
    </row>
    <row r="50" spans="1:17" x14ac:dyDescent="0.25">
      <c r="D50" t="s">
        <v>68</v>
      </c>
      <c r="H50" t="s">
        <v>69</v>
      </c>
      <c r="L50" t="s">
        <v>70</v>
      </c>
      <c r="P50" t="s">
        <v>70</v>
      </c>
    </row>
    <row r="52" spans="1:17" x14ac:dyDescent="0.25">
      <c r="C52" t="s">
        <v>93</v>
      </c>
      <c r="D52" t="s">
        <v>94</v>
      </c>
      <c r="G52" t="s">
        <v>95</v>
      </c>
      <c r="H52" t="s">
        <v>96</v>
      </c>
    </row>
    <row r="56" spans="1:17" x14ac:dyDescent="0.25">
      <c r="A56" s="167" t="s">
        <v>121</v>
      </c>
      <c r="B56" s="167"/>
      <c r="C56" s="167" t="s">
        <v>223</v>
      </c>
      <c r="D56" s="167"/>
      <c r="E56" s="167"/>
      <c r="F56" s="180"/>
      <c r="G56" s="167" t="s">
        <v>226</v>
      </c>
      <c r="H56" s="167"/>
      <c r="I56" s="167"/>
      <c r="J56" s="180"/>
      <c r="K56" s="167" t="s">
        <v>231</v>
      </c>
      <c r="L56" s="167"/>
      <c r="M56" s="167"/>
    </row>
    <row r="57" spans="1:17" x14ac:dyDescent="0.25">
      <c r="A57" s="167"/>
      <c r="B57" s="167"/>
      <c r="C57" s="167"/>
      <c r="D57" s="167"/>
      <c r="E57" s="167"/>
      <c r="F57" s="181"/>
      <c r="G57" s="167"/>
      <c r="H57" s="167"/>
      <c r="I57" s="167"/>
      <c r="J57" s="181"/>
      <c r="K57" s="167"/>
      <c r="L57" s="167"/>
      <c r="M57" s="167"/>
    </row>
    <row r="58" spans="1:17" x14ac:dyDescent="0.25">
      <c r="A58" s="47"/>
      <c r="B58" s="47" t="s">
        <v>19</v>
      </c>
      <c r="C58" s="75" t="s">
        <v>53</v>
      </c>
      <c r="D58" s="75" t="s">
        <v>54</v>
      </c>
      <c r="E58" s="75" t="s">
        <v>55</v>
      </c>
      <c r="F58" s="181"/>
      <c r="G58" s="75" t="s">
        <v>53</v>
      </c>
      <c r="H58" s="75" t="s">
        <v>54</v>
      </c>
      <c r="I58" s="75" t="s">
        <v>55</v>
      </c>
      <c r="J58" s="181"/>
      <c r="K58" s="75" t="s">
        <v>53</v>
      </c>
      <c r="L58" s="75" t="s">
        <v>54</v>
      </c>
      <c r="M58" s="75" t="s">
        <v>55</v>
      </c>
    </row>
    <row r="59" spans="1:17" x14ac:dyDescent="0.25">
      <c r="A59" s="47">
        <v>1</v>
      </c>
      <c r="B59" s="47" t="s">
        <v>35</v>
      </c>
      <c r="C59" s="76">
        <v>262</v>
      </c>
      <c r="D59" s="76">
        <v>6.3421789999999998</v>
      </c>
      <c r="E59" s="75">
        <f>C59*D59</f>
        <v>1661.6508979999999</v>
      </c>
      <c r="F59" s="181"/>
      <c r="G59" s="76">
        <v>290</v>
      </c>
      <c r="H59" s="76">
        <v>7.1297160000000002</v>
      </c>
      <c r="I59" s="75">
        <f>G59*H59</f>
        <v>2067.6176399999999</v>
      </c>
      <c r="J59" s="181"/>
      <c r="K59" s="76">
        <v>241</v>
      </c>
      <c r="L59" s="76">
        <v>6.8685739999999997</v>
      </c>
      <c r="M59" s="75">
        <f>K59*L59</f>
        <v>1655.3263339999999</v>
      </c>
    </row>
    <row r="60" spans="1:17" x14ac:dyDescent="0.25">
      <c r="A60" s="47">
        <v>2</v>
      </c>
      <c r="B60" s="47" t="s">
        <v>36</v>
      </c>
      <c r="C60" s="76">
        <v>146</v>
      </c>
      <c r="D60" s="76">
        <v>7.9402220000000003</v>
      </c>
      <c r="E60" s="75">
        <f t="shared" ref="E60:E72" si="11">C60*D60</f>
        <v>1159.272412</v>
      </c>
      <c r="F60" s="181"/>
      <c r="G60" s="76">
        <v>124</v>
      </c>
      <c r="H60" s="76">
        <v>6.9926329999999997</v>
      </c>
      <c r="I60" s="75">
        <f t="shared" ref="I60:I72" si="12">G60*H60</f>
        <v>867.08649199999991</v>
      </c>
      <c r="J60" s="181"/>
      <c r="K60" s="76">
        <v>142</v>
      </c>
      <c r="L60" s="76">
        <v>7.5085949999999997</v>
      </c>
      <c r="M60" s="75">
        <f t="shared" ref="M60:M72" si="13">K60*L60</f>
        <v>1066.2204899999999</v>
      </c>
    </row>
    <row r="61" spans="1:17" x14ac:dyDescent="0.25">
      <c r="A61" s="47">
        <v>3</v>
      </c>
      <c r="B61" s="47" t="s">
        <v>27</v>
      </c>
      <c r="C61" s="76">
        <v>331</v>
      </c>
      <c r="D61" s="76">
        <v>13.518988</v>
      </c>
      <c r="E61" s="75">
        <f t="shared" si="11"/>
        <v>4474.7850280000002</v>
      </c>
      <c r="F61" s="181"/>
      <c r="G61" s="76">
        <v>339</v>
      </c>
      <c r="H61" s="76">
        <v>13.36928</v>
      </c>
      <c r="I61" s="75">
        <f t="shared" si="12"/>
        <v>4532.1859199999999</v>
      </c>
      <c r="J61" s="181"/>
      <c r="K61" s="76">
        <v>327</v>
      </c>
      <c r="L61" s="76">
        <v>12.941547</v>
      </c>
      <c r="M61" s="75">
        <f t="shared" si="13"/>
        <v>4231.8858689999997</v>
      </c>
    </row>
    <row r="62" spans="1:17" s="120" customFormat="1" x14ac:dyDescent="0.25">
      <c r="A62" s="129">
        <v>4</v>
      </c>
      <c r="B62" s="129" t="s">
        <v>28</v>
      </c>
      <c r="C62" s="73">
        <v>144</v>
      </c>
      <c r="D62" s="73">
        <v>8.8628129999999992</v>
      </c>
      <c r="E62" s="73">
        <f t="shared" si="11"/>
        <v>1276.2450719999999</v>
      </c>
      <c r="F62" s="181"/>
      <c r="G62" s="73">
        <v>139</v>
      </c>
      <c r="H62" s="73">
        <v>7.7874319999999999</v>
      </c>
      <c r="I62" s="73">
        <f t="shared" si="12"/>
        <v>1082.4530480000001</v>
      </c>
      <c r="J62" s="181"/>
      <c r="K62" s="73">
        <v>144</v>
      </c>
      <c r="L62" s="73">
        <v>8.2619980000000002</v>
      </c>
      <c r="M62" s="73">
        <f t="shared" si="13"/>
        <v>1189.7277120000001</v>
      </c>
    </row>
    <row r="63" spans="1:17" s="132" customFormat="1" x14ac:dyDescent="0.25">
      <c r="A63" s="130">
        <v>5</v>
      </c>
      <c r="B63" s="130" t="s">
        <v>25</v>
      </c>
      <c r="C63" s="131">
        <v>45</v>
      </c>
      <c r="D63" s="131">
        <v>14.6</v>
      </c>
      <c r="E63" s="131">
        <f t="shared" si="11"/>
        <v>657</v>
      </c>
      <c r="F63" s="181"/>
      <c r="G63" s="131">
        <v>46</v>
      </c>
      <c r="H63" s="131">
        <v>17.206827000000001</v>
      </c>
      <c r="I63" s="131">
        <f t="shared" si="12"/>
        <v>791.51404200000002</v>
      </c>
      <c r="J63" s="181"/>
      <c r="K63" s="131">
        <v>45</v>
      </c>
      <c r="L63" s="131">
        <v>16.61</v>
      </c>
      <c r="M63" s="131">
        <f t="shared" si="13"/>
        <v>747.44999999999993</v>
      </c>
    </row>
    <row r="64" spans="1:17" x14ac:dyDescent="0.25">
      <c r="A64" s="47">
        <v>6</v>
      </c>
      <c r="B64" s="47" t="s">
        <v>29</v>
      </c>
      <c r="C64" s="76">
        <v>283</v>
      </c>
      <c r="D64" s="76">
        <v>8.6500380000000003</v>
      </c>
      <c r="E64" s="75">
        <f t="shared" si="11"/>
        <v>2447.9607540000002</v>
      </c>
      <c r="F64" s="181"/>
      <c r="G64" s="76">
        <v>287</v>
      </c>
      <c r="H64" s="76">
        <v>8.4387349999999994</v>
      </c>
      <c r="I64" s="75">
        <f t="shared" si="12"/>
        <v>2421.9169449999999</v>
      </c>
      <c r="J64" s="181"/>
      <c r="K64" s="76">
        <v>283</v>
      </c>
      <c r="L64" s="76">
        <v>9.1879709999999992</v>
      </c>
      <c r="M64" s="75">
        <f t="shared" si="13"/>
        <v>2600.1957929999999</v>
      </c>
    </row>
    <row r="65" spans="1:13" x14ac:dyDescent="0.25">
      <c r="A65" s="47">
        <v>7</v>
      </c>
      <c r="B65" s="47"/>
      <c r="C65" s="76"/>
      <c r="D65" s="76"/>
      <c r="E65" s="75">
        <f t="shared" si="11"/>
        <v>0</v>
      </c>
      <c r="F65" s="181"/>
      <c r="G65" s="76"/>
      <c r="H65" s="76"/>
      <c r="I65" s="75">
        <f t="shared" si="12"/>
        <v>0</v>
      </c>
      <c r="J65" s="181"/>
      <c r="K65" s="76"/>
      <c r="L65" s="76"/>
      <c r="M65" s="75">
        <f t="shared" si="13"/>
        <v>0</v>
      </c>
    </row>
    <row r="66" spans="1:13" x14ac:dyDescent="0.25">
      <c r="A66" s="47">
        <v>8</v>
      </c>
      <c r="B66" s="47"/>
      <c r="C66" s="76"/>
      <c r="D66" s="76"/>
      <c r="E66" s="75">
        <f t="shared" si="11"/>
        <v>0</v>
      </c>
      <c r="F66" s="181"/>
      <c r="G66" s="76"/>
      <c r="H66" s="76"/>
      <c r="I66" s="75">
        <f t="shared" si="12"/>
        <v>0</v>
      </c>
      <c r="J66" s="181"/>
      <c r="K66" s="76"/>
      <c r="L66" s="76"/>
      <c r="M66" s="75">
        <f t="shared" si="13"/>
        <v>0</v>
      </c>
    </row>
    <row r="67" spans="1:13" x14ac:dyDescent="0.25">
      <c r="A67" s="47">
        <v>9</v>
      </c>
      <c r="B67" s="47"/>
      <c r="C67" s="76"/>
      <c r="D67" s="76"/>
      <c r="E67" s="75">
        <f t="shared" si="11"/>
        <v>0</v>
      </c>
      <c r="F67" s="181"/>
      <c r="G67" s="76"/>
      <c r="H67" s="76"/>
      <c r="I67" s="75">
        <f t="shared" si="12"/>
        <v>0</v>
      </c>
      <c r="J67" s="181"/>
      <c r="K67" s="76"/>
      <c r="L67" s="76"/>
      <c r="M67" s="75">
        <f t="shared" si="13"/>
        <v>0</v>
      </c>
    </row>
    <row r="68" spans="1:13" x14ac:dyDescent="0.25">
      <c r="A68" s="47">
        <v>10</v>
      </c>
      <c r="B68" s="47"/>
      <c r="C68" s="76"/>
      <c r="D68" s="76"/>
      <c r="E68" s="75">
        <f t="shared" si="11"/>
        <v>0</v>
      </c>
      <c r="F68" s="181"/>
      <c r="G68" s="76"/>
      <c r="H68" s="76"/>
      <c r="I68" s="75">
        <f t="shared" si="12"/>
        <v>0</v>
      </c>
      <c r="J68" s="181"/>
      <c r="K68" s="76"/>
      <c r="L68" s="76"/>
      <c r="M68" s="75">
        <f t="shared" si="13"/>
        <v>0</v>
      </c>
    </row>
    <row r="69" spans="1:13" x14ac:dyDescent="0.25">
      <c r="A69" s="47">
        <v>11</v>
      </c>
      <c r="B69" s="47"/>
      <c r="C69" s="76"/>
      <c r="D69" s="76"/>
      <c r="E69" s="75">
        <f t="shared" si="11"/>
        <v>0</v>
      </c>
      <c r="F69" s="181"/>
      <c r="G69" s="76"/>
      <c r="H69" s="76"/>
      <c r="I69" s="75">
        <f t="shared" si="12"/>
        <v>0</v>
      </c>
      <c r="J69" s="181"/>
      <c r="K69" s="76"/>
      <c r="L69" s="76"/>
      <c r="M69" s="75">
        <f t="shared" si="13"/>
        <v>0</v>
      </c>
    </row>
    <row r="70" spans="1:13" x14ac:dyDescent="0.25">
      <c r="A70" s="47">
        <v>12</v>
      </c>
      <c r="B70" s="47"/>
      <c r="C70" s="76"/>
      <c r="D70" s="76"/>
      <c r="E70" s="75">
        <f t="shared" si="11"/>
        <v>0</v>
      </c>
      <c r="F70" s="181"/>
      <c r="G70" s="76"/>
      <c r="H70" s="76"/>
      <c r="I70" s="75">
        <f t="shared" si="12"/>
        <v>0</v>
      </c>
      <c r="J70" s="181"/>
      <c r="K70" s="76"/>
      <c r="L70" s="76"/>
      <c r="M70" s="75">
        <f t="shared" si="13"/>
        <v>0</v>
      </c>
    </row>
    <row r="71" spans="1:13" x14ac:dyDescent="0.25">
      <c r="A71" s="47">
        <v>13</v>
      </c>
      <c r="B71" s="47"/>
      <c r="C71" s="76"/>
      <c r="D71" s="76"/>
      <c r="E71" s="75">
        <f t="shared" si="11"/>
        <v>0</v>
      </c>
      <c r="F71" s="181"/>
      <c r="G71" s="76"/>
      <c r="H71" s="76"/>
      <c r="I71" s="75">
        <f t="shared" si="12"/>
        <v>0</v>
      </c>
      <c r="J71" s="181"/>
      <c r="K71" s="76"/>
      <c r="L71" s="76"/>
      <c r="M71" s="75">
        <f t="shared" si="13"/>
        <v>0</v>
      </c>
    </row>
    <row r="72" spans="1:13" x14ac:dyDescent="0.25">
      <c r="A72" s="47">
        <v>14</v>
      </c>
      <c r="B72" s="47"/>
      <c r="C72" s="76"/>
      <c r="D72" s="76"/>
      <c r="E72" s="75">
        <f t="shared" si="11"/>
        <v>0</v>
      </c>
      <c r="F72" s="181"/>
      <c r="G72" s="76"/>
      <c r="H72" s="76"/>
      <c r="I72" s="75">
        <f t="shared" si="12"/>
        <v>0</v>
      </c>
      <c r="J72" s="181"/>
      <c r="K72" s="76"/>
      <c r="L72" s="76"/>
      <c r="M72" s="75">
        <f t="shared" si="13"/>
        <v>0</v>
      </c>
    </row>
    <row r="73" spans="1:13" x14ac:dyDescent="0.25">
      <c r="A73" s="47">
        <v>15</v>
      </c>
      <c r="B73" s="47"/>
      <c r="C73" s="76"/>
      <c r="D73" s="76"/>
      <c r="E73" s="75"/>
      <c r="F73" s="181"/>
      <c r="G73" s="76"/>
      <c r="H73" s="76"/>
      <c r="I73" s="75"/>
      <c r="J73" s="181"/>
      <c r="K73" s="76"/>
      <c r="L73" s="76"/>
      <c r="M73" s="75"/>
    </row>
    <row r="74" spans="1:13" x14ac:dyDescent="0.25">
      <c r="A74" s="32"/>
      <c r="B74" s="47" t="s">
        <v>56</v>
      </c>
      <c r="C74" s="169">
        <f>SUM(C59:C72)</f>
        <v>1211</v>
      </c>
      <c r="D74" s="170"/>
      <c r="E74" s="171"/>
      <c r="F74" s="181"/>
      <c r="G74" s="177">
        <f>SUM(G59:G72)</f>
        <v>1225</v>
      </c>
      <c r="H74" s="178"/>
      <c r="I74" s="179"/>
      <c r="J74" s="181"/>
      <c r="K74" s="177">
        <f>SUM(K59:K72)</f>
        <v>1182</v>
      </c>
      <c r="L74" s="178"/>
      <c r="M74" s="179"/>
    </row>
    <row r="75" spans="1:13" x14ac:dyDescent="0.25">
      <c r="A75" s="32"/>
      <c r="B75" s="47" t="s">
        <v>57</v>
      </c>
      <c r="C75" s="169">
        <f>SUM(E59:E72)/C74</f>
        <v>9.6423733806771263</v>
      </c>
      <c r="D75" s="170"/>
      <c r="E75" s="171"/>
      <c r="F75" s="182"/>
      <c r="G75" s="177">
        <f>SUM(I59:I72)/G74</f>
        <v>9.6022645608163284</v>
      </c>
      <c r="H75" s="178"/>
      <c r="I75" s="179"/>
      <c r="J75" s="182"/>
      <c r="K75" s="177">
        <f>SUM(M59:M72)/K74</f>
        <v>9.721494245346868</v>
      </c>
      <c r="L75" s="178"/>
      <c r="M75" s="179"/>
    </row>
    <row r="76" spans="1:13" x14ac:dyDescent="0.25">
      <c r="D76" t="s">
        <v>61</v>
      </c>
      <c r="E76" t="s">
        <v>62</v>
      </c>
      <c r="H76" t="s">
        <v>61</v>
      </c>
      <c r="I76" t="s">
        <v>62</v>
      </c>
      <c r="L76" t="s">
        <v>61</v>
      </c>
      <c r="M76" t="s">
        <v>62</v>
      </c>
    </row>
    <row r="77" spans="1:13" x14ac:dyDescent="0.25">
      <c r="B77" s="47" t="s">
        <v>60</v>
      </c>
      <c r="C77" s="76"/>
      <c r="D77" s="76"/>
      <c r="E77" s="75"/>
      <c r="G77" s="76"/>
      <c r="H77" s="76"/>
      <c r="I77" s="75"/>
      <c r="K77" s="76"/>
      <c r="L77" s="76"/>
      <c r="M77" s="75"/>
    </row>
    <row r="78" spans="1:13" x14ac:dyDescent="0.25">
      <c r="D78" t="s">
        <v>68</v>
      </c>
    </row>
    <row r="80" spans="1:13" x14ac:dyDescent="0.25">
      <c r="C80" t="s">
        <v>93</v>
      </c>
      <c r="D80" t="s">
        <v>94</v>
      </c>
      <c r="G80" t="s">
        <v>95</v>
      </c>
      <c r="H80" t="s">
        <v>96</v>
      </c>
    </row>
    <row r="83" spans="1:13" x14ac:dyDescent="0.25">
      <c r="A83" s="167" t="s">
        <v>121</v>
      </c>
      <c r="B83" s="167"/>
      <c r="C83" s="167" t="s">
        <v>138</v>
      </c>
      <c r="D83" s="167"/>
      <c r="E83" s="167"/>
      <c r="F83" s="180"/>
      <c r="G83" s="167" t="s">
        <v>227</v>
      </c>
      <c r="H83" s="167"/>
      <c r="I83" s="167"/>
      <c r="J83" s="180"/>
      <c r="K83" s="167" t="s">
        <v>140</v>
      </c>
      <c r="L83" s="167"/>
      <c r="M83" s="167"/>
    </row>
    <row r="84" spans="1:13" x14ac:dyDescent="0.25">
      <c r="A84" s="167"/>
      <c r="B84" s="167"/>
      <c r="C84" s="167"/>
      <c r="D84" s="167"/>
      <c r="E84" s="167"/>
      <c r="F84" s="181"/>
      <c r="G84" s="167"/>
      <c r="H84" s="167"/>
      <c r="I84" s="167"/>
      <c r="J84" s="181"/>
      <c r="K84" s="167"/>
      <c r="L84" s="167"/>
      <c r="M84" s="167"/>
    </row>
    <row r="85" spans="1:13" x14ac:dyDescent="0.25">
      <c r="A85" s="47"/>
      <c r="B85" s="47" t="s">
        <v>19</v>
      </c>
      <c r="C85" s="75" t="s">
        <v>53</v>
      </c>
      <c r="D85" s="75" t="s">
        <v>54</v>
      </c>
      <c r="E85" s="75" t="s">
        <v>55</v>
      </c>
      <c r="F85" s="181"/>
      <c r="G85" s="75" t="s">
        <v>53</v>
      </c>
      <c r="H85" s="75" t="s">
        <v>54</v>
      </c>
      <c r="I85" s="75" t="s">
        <v>55</v>
      </c>
      <c r="J85" s="181"/>
      <c r="K85" s="75" t="s">
        <v>53</v>
      </c>
      <c r="L85" s="75" t="s">
        <v>54</v>
      </c>
      <c r="M85" s="75" t="s">
        <v>55</v>
      </c>
    </row>
    <row r="86" spans="1:13" x14ac:dyDescent="0.25">
      <c r="A86" s="47">
        <v>1</v>
      </c>
      <c r="B86" s="47" t="s">
        <v>35</v>
      </c>
      <c r="C86" s="76">
        <v>282</v>
      </c>
      <c r="D86" s="76">
        <v>4.4332229999999999</v>
      </c>
      <c r="E86" s="75">
        <f>C86*D86</f>
        <v>1250.1688859999999</v>
      </c>
      <c r="F86" s="181"/>
      <c r="G86" s="76">
        <v>280</v>
      </c>
      <c r="H86" s="76">
        <v>7.1116849999999996</v>
      </c>
      <c r="I86" s="75">
        <f>G86*H86</f>
        <v>1991.2718</v>
      </c>
      <c r="J86" s="181"/>
      <c r="K86" s="76">
        <v>270</v>
      </c>
      <c r="L86" s="76">
        <v>4.0247409999999997</v>
      </c>
      <c r="M86" s="75">
        <f>K86*L86</f>
        <v>1086.6800699999999</v>
      </c>
    </row>
    <row r="87" spans="1:13" x14ac:dyDescent="0.25">
      <c r="A87" s="47">
        <v>2</v>
      </c>
      <c r="B87" s="47" t="s">
        <v>36</v>
      </c>
      <c r="C87" s="76">
        <v>121</v>
      </c>
      <c r="D87" s="76">
        <v>4.2541500000000001</v>
      </c>
      <c r="E87" s="75">
        <f t="shared" ref="E87:E99" si="14">C87*D87</f>
        <v>514.75215000000003</v>
      </c>
      <c r="F87" s="181"/>
      <c r="G87" s="76">
        <v>144</v>
      </c>
      <c r="H87" s="76">
        <v>8.1</v>
      </c>
      <c r="I87" s="75">
        <f t="shared" ref="I87:I99" si="15">G87*H87</f>
        <v>1166.3999999999999</v>
      </c>
      <c r="J87" s="181"/>
      <c r="K87" s="76">
        <v>133</v>
      </c>
      <c r="L87" s="76">
        <v>4.1095119999999996</v>
      </c>
      <c r="M87" s="75">
        <f t="shared" ref="M87:M99" si="16">K87*L87</f>
        <v>546.56509599999993</v>
      </c>
    </row>
    <row r="88" spans="1:13" x14ac:dyDescent="0.25">
      <c r="A88" s="47">
        <v>3</v>
      </c>
      <c r="B88" s="47" t="s">
        <v>27</v>
      </c>
      <c r="C88" s="76">
        <v>321</v>
      </c>
      <c r="D88" s="76">
        <v>7.1809149999999997</v>
      </c>
      <c r="E88" s="75">
        <f t="shared" si="14"/>
        <v>2305.073715</v>
      </c>
      <c r="F88" s="181"/>
      <c r="G88" s="76">
        <v>326</v>
      </c>
      <c r="H88" s="76">
        <v>13.593038</v>
      </c>
      <c r="I88" s="75">
        <f t="shared" si="15"/>
        <v>4431.3303880000003</v>
      </c>
      <c r="J88" s="181"/>
      <c r="K88" s="76">
        <v>319</v>
      </c>
      <c r="L88" s="76">
        <v>7.2079610000000001</v>
      </c>
      <c r="M88" s="75">
        <f t="shared" si="16"/>
        <v>2299.339559</v>
      </c>
    </row>
    <row r="89" spans="1:13" s="120" customFormat="1" x14ac:dyDescent="0.25">
      <c r="A89" s="129">
        <v>4</v>
      </c>
      <c r="B89" s="129" t="s">
        <v>28</v>
      </c>
      <c r="C89" s="73">
        <v>146</v>
      </c>
      <c r="D89" s="73">
        <v>4.7760009999999999</v>
      </c>
      <c r="E89" s="73">
        <f t="shared" si="14"/>
        <v>697.29614600000002</v>
      </c>
      <c r="F89" s="181"/>
      <c r="G89" s="73">
        <v>144</v>
      </c>
      <c r="H89" s="73">
        <v>9.5508710000000008</v>
      </c>
      <c r="I89" s="73">
        <f t="shared" si="15"/>
        <v>1375.3254240000001</v>
      </c>
      <c r="J89" s="181"/>
      <c r="K89" s="73">
        <v>146</v>
      </c>
      <c r="L89" s="73">
        <v>6.0670640000000002</v>
      </c>
      <c r="M89" s="73">
        <f t="shared" si="16"/>
        <v>885.79134399999998</v>
      </c>
    </row>
    <row r="90" spans="1:13" s="132" customFormat="1" x14ac:dyDescent="0.25">
      <c r="A90" s="130">
        <v>5</v>
      </c>
      <c r="B90" s="130" t="s">
        <v>25</v>
      </c>
      <c r="C90" s="131">
        <v>39</v>
      </c>
      <c r="D90" s="131">
        <v>10.048548</v>
      </c>
      <c r="E90" s="131">
        <f t="shared" si="14"/>
        <v>391.893372</v>
      </c>
      <c r="F90" s="181"/>
      <c r="G90" s="131">
        <v>41</v>
      </c>
      <c r="H90" s="131">
        <v>17.712910000000001</v>
      </c>
      <c r="I90" s="131">
        <f t="shared" si="15"/>
        <v>726.22931000000005</v>
      </c>
      <c r="J90" s="181"/>
      <c r="K90" s="131">
        <v>38</v>
      </c>
      <c r="L90" s="131">
        <v>22.932687999999999</v>
      </c>
      <c r="M90" s="131">
        <f t="shared" si="16"/>
        <v>871.44214399999998</v>
      </c>
    </row>
    <row r="91" spans="1:13" x14ac:dyDescent="0.25">
      <c r="A91" s="47">
        <v>6</v>
      </c>
      <c r="B91" s="47" t="s">
        <v>29</v>
      </c>
      <c r="C91" s="76">
        <v>302</v>
      </c>
      <c r="D91" s="76">
        <v>5.2292620000000003</v>
      </c>
      <c r="E91" s="75">
        <f t="shared" si="14"/>
        <v>1579.237124</v>
      </c>
      <c r="F91" s="181"/>
      <c r="G91" s="76">
        <v>297</v>
      </c>
      <c r="H91" s="76">
        <v>8.8000000000000007</v>
      </c>
      <c r="I91" s="75">
        <f t="shared" si="15"/>
        <v>2613.6000000000004</v>
      </c>
      <c r="J91" s="181"/>
      <c r="K91" s="76">
        <v>303</v>
      </c>
      <c r="L91" s="76">
        <v>5.938212</v>
      </c>
      <c r="M91" s="75">
        <f t="shared" si="16"/>
        <v>1799.2782360000001</v>
      </c>
    </row>
    <row r="92" spans="1:13" x14ac:dyDescent="0.25">
      <c r="A92" s="47">
        <v>7</v>
      </c>
      <c r="B92" s="47"/>
      <c r="C92" s="76"/>
      <c r="D92" s="76"/>
      <c r="E92" s="75">
        <f t="shared" si="14"/>
        <v>0</v>
      </c>
      <c r="F92" s="181"/>
      <c r="G92" s="76"/>
      <c r="H92" s="76"/>
      <c r="I92" s="75">
        <f t="shared" si="15"/>
        <v>0</v>
      </c>
      <c r="J92" s="181"/>
      <c r="K92" s="76"/>
      <c r="L92" s="76"/>
      <c r="M92" s="75">
        <f t="shared" si="16"/>
        <v>0</v>
      </c>
    </row>
    <row r="93" spans="1:13" x14ac:dyDescent="0.25">
      <c r="A93" s="47">
        <v>8</v>
      </c>
      <c r="B93" s="47"/>
      <c r="C93" s="76"/>
      <c r="D93" s="76"/>
      <c r="E93" s="75">
        <f t="shared" si="14"/>
        <v>0</v>
      </c>
      <c r="F93" s="181"/>
      <c r="G93" s="76"/>
      <c r="H93" s="76"/>
      <c r="I93" s="75">
        <f t="shared" si="15"/>
        <v>0</v>
      </c>
      <c r="J93" s="181"/>
      <c r="K93" s="76"/>
      <c r="L93" s="76"/>
      <c r="M93" s="75">
        <f t="shared" si="16"/>
        <v>0</v>
      </c>
    </row>
    <row r="94" spans="1:13" x14ac:dyDescent="0.25">
      <c r="A94" s="47">
        <v>9</v>
      </c>
      <c r="B94" s="47"/>
      <c r="C94" s="76"/>
      <c r="D94" s="76"/>
      <c r="E94" s="75">
        <f t="shared" si="14"/>
        <v>0</v>
      </c>
      <c r="F94" s="181"/>
      <c r="G94" s="76"/>
      <c r="H94" s="76"/>
      <c r="I94" s="75">
        <f t="shared" si="15"/>
        <v>0</v>
      </c>
      <c r="J94" s="181"/>
      <c r="K94" s="76"/>
      <c r="L94" s="76"/>
      <c r="M94" s="75">
        <f t="shared" si="16"/>
        <v>0</v>
      </c>
    </row>
    <row r="95" spans="1:13" x14ac:dyDescent="0.25">
      <c r="A95" s="47">
        <v>10</v>
      </c>
      <c r="B95" s="47"/>
      <c r="C95" s="76"/>
      <c r="D95" s="76"/>
      <c r="E95" s="75">
        <f t="shared" si="14"/>
        <v>0</v>
      </c>
      <c r="F95" s="181"/>
      <c r="G95" s="76"/>
      <c r="H95" s="76"/>
      <c r="I95" s="75">
        <f t="shared" si="15"/>
        <v>0</v>
      </c>
      <c r="J95" s="181"/>
      <c r="K95" s="76"/>
      <c r="L95" s="76"/>
      <c r="M95" s="75">
        <f t="shared" si="16"/>
        <v>0</v>
      </c>
    </row>
    <row r="96" spans="1:13" x14ac:dyDescent="0.25">
      <c r="A96" s="47">
        <v>11</v>
      </c>
      <c r="B96" s="47"/>
      <c r="C96" s="76"/>
      <c r="D96" s="76"/>
      <c r="E96" s="75">
        <f t="shared" si="14"/>
        <v>0</v>
      </c>
      <c r="F96" s="181"/>
      <c r="G96" s="76"/>
      <c r="H96" s="76"/>
      <c r="I96" s="75">
        <f t="shared" si="15"/>
        <v>0</v>
      </c>
      <c r="J96" s="181"/>
      <c r="K96" s="76"/>
      <c r="L96" s="76"/>
      <c r="M96" s="75">
        <f t="shared" si="16"/>
        <v>0</v>
      </c>
    </row>
    <row r="97" spans="1:21" x14ac:dyDescent="0.25">
      <c r="A97" s="47">
        <v>12</v>
      </c>
      <c r="B97" s="47"/>
      <c r="C97" s="76"/>
      <c r="D97" s="76"/>
      <c r="E97" s="75">
        <f t="shared" si="14"/>
        <v>0</v>
      </c>
      <c r="F97" s="181"/>
      <c r="G97" s="76"/>
      <c r="H97" s="76"/>
      <c r="I97" s="75">
        <f t="shared" si="15"/>
        <v>0</v>
      </c>
      <c r="J97" s="181"/>
      <c r="K97" s="76"/>
      <c r="L97" s="76"/>
      <c r="M97" s="75">
        <f t="shared" si="16"/>
        <v>0</v>
      </c>
    </row>
    <row r="98" spans="1:21" x14ac:dyDescent="0.25">
      <c r="A98" s="47">
        <v>13</v>
      </c>
      <c r="B98" s="47"/>
      <c r="C98" s="76"/>
      <c r="D98" s="76"/>
      <c r="E98" s="75">
        <f t="shared" si="14"/>
        <v>0</v>
      </c>
      <c r="F98" s="181"/>
      <c r="G98" s="76"/>
      <c r="H98" s="76"/>
      <c r="I98" s="75">
        <f t="shared" si="15"/>
        <v>0</v>
      </c>
      <c r="J98" s="181"/>
      <c r="K98" s="76"/>
      <c r="L98" s="76"/>
      <c r="M98" s="75">
        <f t="shared" si="16"/>
        <v>0</v>
      </c>
    </row>
    <row r="99" spans="1:21" x14ac:dyDescent="0.25">
      <c r="A99" s="47">
        <v>14</v>
      </c>
      <c r="B99" s="47"/>
      <c r="C99" s="76"/>
      <c r="D99" s="76"/>
      <c r="E99" s="75">
        <f t="shared" si="14"/>
        <v>0</v>
      </c>
      <c r="F99" s="181"/>
      <c r="G99" s="76"/>
      <c r="H99" s="76"/>
      <c r="I99" s="75">
        <f t="shared" si="15"/>
        <v>0</v>
      </c>
      <c r="J99" s="181"/>
      <c r="K99" s="76"/>
      <c r="L99" s="76"/>
      <c r="M99" s="75">
        <f t="shared" si="16"/>
        <v>0</v>
      </c>
    </row>
    <row r="100" spans="1:21" x14ac:dyDescent="0.25">
      <c r="A100" s="47">
        <v>15</v>
      </c>
      <c r="B100" s="47"/>
      <c r="C100" s="76"/>
      <c r="D100" s="76"/>
      <c r="E100" s="75"/>
      <c r="F100" s="181"/>
      <c r="G100" s="76"/>
      <c r="H100" s="76"/>
      <c r="I100" s="75"/>
      <c r="J100" s="181"/>
      <c r="K100" s="76"/>
      <c r="L100" s="76"/>
      <c r="M100" s="75"/>
    </row>
    <row r="101" spans="1:21" x14ac:dyDescent="0.25">
      <c r="A101" s="32"/>
      <c r="B101" s="47" t="s">
        <v>56</v>
      </c>
      <c r="C101" s="169">
        <f>SUM(C86:C99)</f>
        <v>1211</v>
      </c>
      <c r="D101" s="170"/>
      <c r="E101" s="171"/>
      <c r="F101" s="181"/>
      <c r="G101" s="177">
        <f>SUM(G86:G99)</f>
        <v>1232</v>
      </c>
      <c r="H101" s="178"/>
      <c r="I101" s="179"/>
      <c r="J101" s="181"/>
      <c r="K101" s="177">
        <f>SUM(K86:K99)</f>
        <v>1209</v>
      </c>
      <c r="L101" s="178"/>
      <c r="M101" s="179"/>
    </row>
    <row r="102" spans="1:21" x14ac:dyDescent="0.25">
      <c r="A102" s="32"/>
      <c r="B102" s="47" t="s">
        <v>57</v>
      </c>
      <c r="C102" s="169">
        <f>SUM(E86:E99)/C101</f>
        <v>5.5643446680429394</v>
      </c>
      <c r="D102" s="170"/>
      <c r="E102" s="171"/>
      <c r="F102" s="182"/>
      <c r="G102" s="177">
        <f>SUM(I86:I99)/G101</f>
        <v>9.9871403587662346</v>
      </c>
      <c r="H102" s="178"/>
      <c r="I102" s="179"/>
      <c r="J102" s="182"/>
      <c r="K102" s="177">
        <f>SUM(M86:M99)/K101</f>
        <v>6.19445529280397</v>
      </c>
      <c r="L102" s="178"/>
      <c r="M102" s="179"/>
    </row>
    <row r="103" spans="1:21" x14ac:dyDescent="0.25">
      <c r="D103" t="s">
        <v>61</v>
      </c>
      <c r="E103" t="s">
        <v>62</v>
      </c>
      <c r="H103" t="s">
        <v>61</v>
      </c>
      <c r="I103" t="s">
        <v>62</v>
      </c>
      <c r="L103" t="s">
        <v>61</v>
      </c>
      <c r="M103" t="s">
        <v>62</v>
      </c>
    </row>
    <row r="104" spans="1:21" x14ac:dyDescent="0.25">
      <c r="B104" s="47" t="s">
        <v>60</v>
      </c>
      <c r="C104" s="76">
        <v>28793</v>
      </c>
      <c r="D104" s="76">
        <v>0.33060699999999998</v>
      </c>
      <c r="E104" s="75">
        <v>2.5495E-2</v>
      </c>
      <c r="G104" s="76"/>
      <c r="H104" s="76"/>
      <c r="I104" s="75"/>
      <c r="K104" s="76">
        <v>28790</v>
      </c>
      <c r="L104" s="76">
        <v>0.35603800000000002</v>
      </c>
      <c r="M104" s="75">
        <v>3.0454999999999999E-2</v>
      </c>
    </row>
    <row r="105" spans="1:21" x14ac:dyDescent="0.25">
      <c r="D105" t="s">
        <v>68</v>
      </c>
      <c r="L105" t="s">
        <v>70</v>
      </c>
    </row>
    <row r="107" spans="1:21" x14ac:dyDescent="0.25">
      <c r="C107" t="s">
        <v>93</v>
      </c>
      <c r="D107" t="s">
        <v>94</v>
      </c>
      <c r="G107" t="s">
        <v>95</v>
      </c>
      <c r="H107" t="s">
        <v>96</v>
      </c>
    </row>
    <row r="109" spans="1:21" x14ac:dyDescent="0.25">
      <c r="A109" s="167" t="s">
        <v>121</v>
      </c>
      <c r="B109" s="167"/>
      <c r="C109" s="167" t="s">
        <v>222</v>
      </c>
      <c r="D109" s="167"/>
      <c r="E109" s="167"/>
      <c r="F109" s="180"/>
      <c r="G109" s="167" t="s">
        <v>224</v>
      </c>
      <c r="H109" s="167"/>
      <c r="I109" s="167"/>
      <c r="J109" s="180"/>
      <c r="K109" s="167" t="s">
        <v>229</v>
      </c>
      <c r="L109" s="167"/>
      <c r="M109" s="167"/>
      <c r="N109" s="180"/>
      <c r="O109" s="167" t="s">
        <v>230</v>
      </c>
      <c r="P109" s="167"/>
      <c r="Q109" s="167"/>
      <c r="R109" s="180"/>
      <c r="S109" s="167" t="s">
        <v>232</v>
      </c>
      <c r="T109" s="167"/>
      <c r="U109" s="167"/>
    </row>
    <row r="110" spans="1:21" x14ac:dyDescent="0.25">
      <c r="A110" s="167"/>
      <c r="B110" s="167"/>
      <c r="C110" s="167"/>
      <c r="D110" s="167"/>
      <c r="E110" s="167"/>
      <c r="F110" s="181"/>
      <c r="G110" s="167"/>
      <c r="H110" s="167"/>
      <c r="I110" s="167"/>
      <c r="J110" s="181"/>
      <c r="K110" s="167"/>
      <c r="L110" s="167"/>
      <c r="M110" s="167"/>
      <c r="N110" s="181"/>
      <c r="O110" s="167"/>
      <c r="P110" s="167"/>
      <c r="Q110" s="167"/>
      <c r="R110" s="181"/>
      <c r="S110" s="167"/>
      <c r="T110" s="167"/>
      <c r="U110" s="167"/>
    </row>
    <row r="111" spans="1:21" x14ac:dyDescent="0.25">
      <c r="A111" s="47"/>
      <c r="B111" s="47" t="s">
        <v>19</v>
      </c>
      <c r="C111" s="75" t="s">
        <v>53</v>
      </c>
      <c r="D111" s="75" t="s">
        <v>54</v>
      </c>
      <c r="E111" s="75" t="s">
        <v>55</v>
      </c>
      <c r="F111" s="181"/>
      <c r="G111" s="75" t="s">
        <v>53</v>
      </c>
      <c r="H111" s="75" t="s">
        <v>54</v>
      </c>
      <c r="I111" s="75" t="s">
        <v>55</v>
      </c>
      <c r="J111" s="181"/>
      <c r="K111" s="75" t="s">
        <v>53</v>
      </c>
      <c r="L111" s="75" t="s">
        <v>54</v>
      </c>
      <c r="M111" s="75" t="s">
        <v>55</v>
      </c>
      <c r="N111" s="181"/>
      <c r="O111" s="75" t="s">
        <v>53</v>
      </c>
      <c r="P111" s="75" t="s">
        <v>54</v>
      </c>
      <c r="Q111" s="75" t="s">
        <v>55</v>
      </c>
      <c r="R111" s="181"/>
      <c r="S111" s="75" t="s">
        <v>53</v>
      </c>
      <c r="T111" s="75" t="s">
        <v>54</v>
      </c>
      <c r="U111" s="75" t="s">
        <v>55</v>
      </c>
    </row>
    <row r="112" spans="1:21" x14ac:dyDescent="0.25">
      <c r="A112" s="47">
        <v>1</v>
      </c>
      <c r="B112" s="47" t="s">
        <v>35</v>
      </c>
      <c r="C112" s="76">
        <v>287</v>
      </c>
      <c r="D112" s="76">
        <v>6.5578880000000002</v>
      </c>
      <c r="E112" s="75">
        <f>C112*D112</f>
        <v>1882.1138559999999</v>
      </c>
      <c r="F112" s="181"/>
      <c r="G112" s="76">
        <v>290</v>
      </c>
      <c r="H112" s="76">
        <v>6.1289470000000001</v>
      </c>
      <c r="I112" s="75">
        <f>G112*H112</f>
        <v>1777.39463</v>
      </c>
      <c r="J112" s="181"/>
      <c r="K112" s="76">
        <v>265</v>
      </c>
      <c r="L112" s="76">
        <v>7.0555099999999999</v>
      </c>
      <c r="M112" s="75">
        <f>K112*L112</f>
        <v>1869.7101499999999</v>
      </c>
      <c r="N112" s="181"/>
      <c r="O112" s="76">
        <v>274</v>
      </c>
      <c r="P112" s="76">
        <v>7.1711679999999998</v>
      </c>
      <c r="Q112" s="75">
        <f>O112*P112</f>
        <v>1964.900032</v>
      </c>
      <c r="R112" s="181"/>
      <c r="S112" s="76">
        <v>271</v>
      </c>
      <c r="T112" s="76">
        <v>6.4069960000000004</v>
      </c>
      <c r="U112" s="75">
        <f>S112*T112</f>
        <v>1736.295916</v>
      </c>
    </row>
    <row r="113" spans="1:21" x14ac:dyDescent="0.25">
      <c r="A113" s="47">
        <v>2</v>
      </c>
      <c r="B113" s="47" t="s">
        <v>36</v>
      </c>
      <c r="C113" s="76">
        <v>146</v>
      </c>
      <c r="D113" s="76">
        <v>8.0899839999999994</v>
      </c>
      <c r="E113" s="75">
        <f t="shared" ref="E113:E125" si="17">C113*D113</f>
        <v>1181.1376639999999</v>
      </c>
      <c r="F113" s="181"/>
      <c r="G113" s="76">
        <v>144</v>
      </c>
      <c r="H113" s="76">
        <v>8</v>
      </c>
      <c r="I113" s="75">
        <f t="shared" ref="I113:I125" si="18">G113*H113</f>
        <v>1152</v>
      </c>
      <c r="J113" s="181"/>
      <c r="K113" s="76">
        <v>141</v>
      </c>
      <c r="L113" s="76">
        <v>6.9763539999999997</v>
      </c>
      <c r="M113" s="75">
        <f t="shared" ref="M113:M125" si="19">K113*L113</f>
        <v>983.66591399999993</v>
      </c>
      <c r="N113" s="181"/>
      <c r="O113" s="76">
        <v>139</v>
      </c>
      <c r="P113" s="76">
        <v>6.8646380000000002</v>
      </c>
      <c r="Q113" s="75">
        <f t="shared" ref="Q113:Q125" si="20">O113*P113</f>
        <v>954.18468200000007</v>
      </c>
      <c r="R113" s="181"/>
      <c r="S113" s="76">
        <v>138</v>
      </c>
      <c r="T113" s="76">
        <v>6.8918860000000004</v>
      </c>
      <c r="U113" s="75">
        <f t="shared" ref="U113:U125" si="21">S113*T113</f>
        <v>951.08026800000005</v>
      </c>
    </row>
    <row r="114" spans="1:21" x14ac:dyDescent="0.25">
      <c r="A114" s="47">
        <v>3</v>
      </c>
      <c r="B114" s="47" t="s">
        <v>27</v>
      </c>
      <c r="C114" s="76">
        <v>330</v>
      </c>
      <c r="D114" s="76">
        <v>13.601265</v>
      </c>
      <c r="E114" s="75">
        <f t="shared" si="17"/>
        <v>4488.4174499999999</v>
      </c>
      <c r="F114" s="181"/>
      <c r="G114" s="76">
        <v>329</v>
      </c>
      <c r="H114" s="76">
        <v>13.290687999999999</v>
      </c>
      <c r="I114" s="75">
        <f t="shared" si="18"/>
        <v>4372.6363519999995</v>
      </c>
      <c r="J114" s="181"/>
      <c r="K114" s="76">
        <v>335</v>
      </c>
      <c r="L114" s="76">
        <v>13.654337999999999</v>
      </c>
      <c r="M114" s="75">
        <f t="shared" si="19"/>
        <v>4574.2032300000001</v>
      </c>
      <c r="N114" s="181"/>
      <c r="O114" s="76">
        <v>333</v>
      </c>
      <c r="P114" s="76">
        <v>13.451238999999999</v>
      </c>
      <c r="Q114" s="75">
        <f t="shared" si="20"/>
        <v>4479.2625870000002</v>
      </c>
      <c r="R114" s="181"/>
      <c r="S114" s="76">
        <v>331</v>
      </c>
      <c r="T114" s="76">
        <v>12.985512</v>
      </c>
      <c r="U114" s="75">
        <f t="shared" si="21"/>
        <v>4298.2044720000004</v>
      </c>
    </row>
    <row r="115" spans="1:21" s="120" customFormat="1" x14ac:dyDescent="0.25">
      <c r="A115" s="129">
        <v>4</v>
      </c>
      <c r="B115" s="129" t="s">
        <v>28</v>
      </c>
      <c r="C115" s="73">
        <v>138</v>
      </c>
      <c r="D115" s="73">
        <v>7.5385679999999997</v>
      </c>
      <c r="E115" s="73">
        <f t="shared" si="17"/>
        <v>1040.3223840000001</v>
      </c>
      <c r="F115" s="181"/>
      <c r="G115" s="73">
        <v>127</v>
      </c>
      <c r="H115" s="73">
        <v>7.843744</v>
      </c>
      <c r="I115" s="73">
        <f t="shared" si="18"/>
        <v>996.15548799999999</v>
      </c>
      <c r="J115" s="181"/>
      <c r="K115" s="73">
        <v>130</v>
      </c>
      <c r="L115" s="73">
        <v>7.0699050000000003</v>
      </c>
      <c r="M115" s="73">
        <f t="shared" si="19"/>
        <v>919.08765000000005</v>
      </c>
      <c r="N115" s="181"/>
      <c r="O115" s="73">
        <v>137</v>
      </c>
      <c r="P115" s="73">
        <v>8.0190380000000001</v>
      </c>
      <c r="Q115" s="73">
        <f t="shared" si="20"/>
        <v>1098.6082060000001</v>
      </c>
      <c r="R115" s="181"/>
      <c r="S115" s="73">
        <v>141</v>
      </c>
      <c r="T115" s="73">
        <v>7.5385679999999997</v>
      </c>
      <c r="U115" s="73">
        <f t="shared" si="21"/>
        <v>1062.9380879999999</v>
      </c>
    </row>
    <row r="116" spans="1:21" s="132" customFormat="1" x14ac:dyDescent="0.25">
      <c r="A116" s="130">
        <v>5</v>
      </c>
      <c r="B116" s="130" t="s">
        <v>25</v>
      </c>
      <c r="C116" s="131">
        <v>45</v>
      </c>
      <c r="D116" s="131">
        <v>14.46</v>
      </c>
      <c r="E116" s="131">
        <f t="shared" si="17"/>
        <v>650.70000000000005</v>
      </c>
      <c r="F116" s="181"/>
      <c r="G116" s="131">
        <v>45</v>
      </c>
      <c r="H116" s="131">
        <v>15.5</v>
      </c>
      <c r="I116" s="131">
        <f t="shared" si="18"/>
        <v>697.5</v>
      </c>
      <c r="J116" s="181"/>
      <c r="K116" s="131">
        <v>43</v>
      </c>
      <c r="L116" s="131">
        <v>17.122903999999998</v>
      </c>
      <c r="M116" s="131">
        <f t="shared" si="19"/>
        <v>736.28487199999995</v>
      </c>
      <c r="N116" s="181"/>
      <c r="O116" s="131">
        <v>41</v>
      </c>
      <c r="P116" s="131">
        <v>16.5</v>
      </c>
      <c r="Q116" s="131">
        <f t="shared" si="20"/>
        <v>676.5</v>
      </c>
      <c r="R116" s="181"/>
      <c r="S116" s="131">
        <v>42</v>
      </c>
      <c r="T116" s="131">
        <v>18.899999999999999</v>
      </c>
      <c r="U116" s="131">
        <f t="shared" si="21"/>
        <v>793.8</v>
      </c>
    </row>
    <row r="117" spans="1:21" x14ac:dyDescent="0.25">
      <c r="A117" s="47">
        <v>6</v>
      </c>
      <c r="B117" s="47" t="s">
        <v>29</v>
      </c>
      <c r="C117" s="76">
        <v>261</v>
      </c>
      <c r="D117" s="76">
        <v>9.5034869999999998</v>
      </c>
      <c r="E117" s="75">
        <f t="shared" si="17"/>
        <v>2480.4101070000002</v>
      </c>
      <c r="F117" s="181"/>
      <c r="G117" s="76">
        <v>296</v>
      </c>
      <c r="H117" s="76">
        <v>9.1552729999999993</v>
      </c>
      <c r="I117" s="75">
        <f t="shared" si="18"/>
        <v>2709.9608079999998</v>
      </c>
      <c r="J117" s="181"/>
      <c r="K117" s="76">
        <v>292</v>
      </c>
      <c r="L117" s="76">
        <v>8.4681890000000006</v>
      </c>
      <c r="M117" s="75">
        <f t="shared" si="19"/>
        <v>2472.7111880000002</v>
      </c>
      <c r="N117" s="181"/>
      <c r="O117" s="76">
        <v>287</v>
      </c>
      <c r="P117" s="76">
        <v>8.442304</v>
      </c>
      <c r="Q117" s="75">
        <f t="shared" si="20"/>
        <v>2422.9412480000001</v>
      </c>
      <c r="R117" s="181"/>
      <c r="S117" s="76">
        <v>293</v>
      </c>
      <c r="T117" s="76">
        <v>8.6720780000000008</v>
      </c>
      <c r="U117" s="75">
        <f t="shared" si="21"/>
        <v>2540.9188540000005</v>
      </c>
    </row>
    <row r="118" spans="1:21" x14ac:dyDescent="0.25">
      <c r="A118" s="47">
        <v>7</v>
      </c>
      <c r="B118" s="47"/>
      <c r="C118" s="76"/>
      <c r="D118" s="76"/>
      <c r="E118" s="75">
        <f t="shared" si="17"/>
        <v>0</v>
      </c>
      <c r="F118" s="181"/>
      <c r="G118" s="76"/>
      <c r="H118" s="76"/>
      <c r="I118" s="75">
        <f t="shared" si="18"/>
        <v>0</v>
      </c>
      <c r="J118" s="181"/>
      <c r="K118" s="76"/>
      <c r="L118" s="76"/>
      <c r="M118" s="75">
        <f t="shared" si="19"/>
        <v>0</v>
      </c>
      <c r="N118" s="181"/>
      <c r="O118" s="76"/>
      <c r="P118" s="76"/>
      <c r="Q118" s="75">
        <f t="shared" si="20"/>
        <v>0</v>
      </c>
      <c r="R118" s="181"/>
      <c r="S118" s="76"/>
      <c r="T118" s="76"/>
      <c r="U118" s="75">
        <f t="shared" si="21"/>
        <v>0</v>
      </c>
    </row>
    <row r="119" spans="1:21" x14ac:dyDescent="0.25">
      <c r="A119" s="47">
        <v>8</v>
      </c>
      <c r="B119" s="47"/>
      <c r="C119" s="76"/>
      <c r="D119" s="76"/>
      <c r="E119" s="75">
        <f t="shared" si="17"/>
        <v>0</v>
      </c>
      <c r="F119" s="181"/>
      <c r="G119" s="76"/>
      <c r="H119" s="76"/>
      <c r="I119" s="75">
        <f t="shared" si="18"/>
        <v>0</v>
      </c>
      <c r="J119" s="181"/>
      <c r="K119" s="76"/>
      <c r="L119" s="76"/>
      <c r="M119" s="75">
        <f t="shared" si="19"/>
        <v>0</v>
      </c>
      <c r="N119" s="181"/>
      <c r="O119" s="76"/>
      <c r="P119" s="76"/>
      <c r="Q119" s="75">
        <f t="shared" si="20"/>
        <v>0</v>
      </c>
      <c r="R119" s="181"/>
      <c r="S119" s="76"/>
      <c r="T119" s="76"/>
      <c r="U119" s="75">
        <f t="shared" si="21"/>
        <v>0</v>
      </c>
    </row>
    <row r="120" spans="1:21" x14ac:dyDescent="0.25">
      <c r="A120" s="47">
        <v>9</v>
      </c>
      <c r="B120" s="47"/>
      <c r="C120" s="76"/>
      <c r="D120" s="76"/>
      <c r="E120" s="75">
        <f t="shared" si="17"/>
        <v>0</v>
      </c>
      <c r="F120" s="181"/>
      <c r="G120" s="76"/>
      <c r="H120" s="76"/>
      <c r="I120" s="75">
        <f t="shared" si="18"/>
        <v>0</v>
      </c>
      <c r="J120" s="181"/>
      <c r="K120" s="76"/>
      <c r="L120" s="76"/>
      <c r="M120" s="75">
        <f t="shared" si="19"/>
        <v>0</v>
      </c>
      <c r="N120" s="181"/>
      <c r="O120" s="76"/>
      <c r="P120" s="76"/>
      <c r="Q120" s="75">
        <f t="shared" si="20"/>
        <v>0</v>
      </c>
      <c r="R120" s="181"/>
      <c r="S120" s="76"/>
      <c r="T120" s="76"/>
      <c r="U120" s="75">
        <f t="shared" si="21"/>
        <v>0</v>
      </c>
    </row>
    <row r="121" spans="1:21" x14ac:dyDescent="0.25">
      <c r="A121" s="47">
        <v>10</v>
      </c>
      <c r="B121" s="47"/>
      <c r="C121" s="76"/>
      <c r="D121" s="76"/>
      <c r="E121" s="75">
        <f t="shared" si="17"/>
        <v>0</v>
      </c>
      <c r="F121" s="181"/>
      <c r="G121" s="76"/>
      <c r="H121" s="76"/>
      <c r="I121" s="75">
        <f t="shared" si="18"/>
        <v>0</v>
      </c>
      <c r="J121" s="181"/>
      <c r="K121" s="76"/>
      <c r="L121" s="76"/>
      <c r="M121" s="75">
        <f t="shared" si="19"/>
        <v>0</v>
      </c>
      <c r="N121" s="181"/>
      <c r="O121" s="76"/>
      <c r="P121" s="76"/>
      <c r="Q121" s="75">
        <f t="shared" si="20"/>
        <v>0</v>
      </c>
      <c r="R121" s="181"/>
      <c r="S121" s="76"/>
      <c r="T121" s="76"/>
      <c r="U121" s="75">
        <f t="shared" si="21"/>
        <v>0</v>
      </c>
    </row>
    <row r="122" spans="1:21" x14ac:dyDescent="0.25">
      <c r="A122" s="47">
        <v>11</v>
      </c>
      <c r="B122" s="47"/>
      <c r="C122" s="76"/>
      <c r="D122" s="76"/>
      <c r="E122" s="75">
        <f t="shared" si="17"/>
        <v>0</v>
      </c>
      <c r="F122" s="181"/>
      <c r="G122" s="76"/>
      <c r="H122" s="76"/>
      <c r="I122" s="75">
        <f t="shared" si="18"/>
        <v>0</v>
      </c>
      <c r="J122" s="181"/>
      <c r="K122" s="76"/>
      <c r="L122" s="76"/>
      <c r="M122" s="75">
        <f t="shared" si="19"/>
        <v>0</v>
      </c>
      <c r="N122" s="181"/>
      <c r="O122" s="76"/>
      <c r="P122" s="76"/>
      <c r="Q122" s="75">
        <f t="shared" si="20"/>
        <v>0</v>
      </c>
      <c r="R122" s="181"/>
      <c r="S122" s="76"/>
      <c r="T122" s="76"/>
      <c r="U122" s="75">
        <f t="shared" si="21"/>
        <v>0</v>
      </c>
    </row>
    <row r="123" spans="1:21" x14ac:dyDescent="0.25">
      <c r="A123" s="47">
        <v>12</v>
      </c>
      <c r="B123" s="47"/>
      <c r="C123" s="76"/>
      <c r="D123" s="76"/>
      <c r="E123" s="75">
        <f t="shared" si="17"/>
        <v>0</v>
      </c>
      <c r="F123" s="181"/>
      <c r="G123" s="76"/>
      <c r="H123" s="76"/>
      <c r="I123" s="75">
        <f t="shared" si="18"/>
        <v>0</v>
      </c>
      <c r="J123" s="181"/>
      <c r="K123" s="76"/>
      <c r="L123" s="76"/>
      <c r="M123" s="75">
        <f t="shared" si="19"/>
        <v>0</v>
      </c>
      <c r="N123" s="181"/>
      <c r="O123" s="76"/>
      <c r="P123" s="76"/>
      <c r="Q123" s="75">
        <f t="shared" si="20"/>
        <v>0</v>
      </c>
      <c r="R123" s="181"/>
      <c r="S123" s="76"/>
      <c r="T123" s="76"/>
      <c r="U123" s="75">
        <f t="shared" si="21"/>
        <v>0</v>
      </c>
    </row>
    <row r="124" spans="1:21" x14ac:dyDescent="0.25">
      <c r="A124" s="47">
        <v>13</v>
      </c>
      <c r="B124" s="47"/>
      <c r="C124" s="76"/>
      <c r="D124" s="76"/>
      <c r="E124" s="75">
        <f t="shared" si="17"/>
        <v>0</v>
      </c>
      <c r="F124" s="181"/>
      <c r="G124" s="76"/>
      <c r="H124" s="76"/>
      <c r="I124" s="75">
        <f t="shared" si="18"/>
        <v>0</v>
      </c>
      <c r="J124" s="181"/>
      <c r="K124" s="76"/>
      <c r="L124" s="76"/>
      <c r="M124" s="75">
        <f t="shared" si="19"/>
        <v>0</v>
      </c>
      <c r="N124" s="181"/>
      <c r="O124" s="76"/>
      <c r="P124" s="76"/>
      <c r="Q124" s="75">
        <f t="shared" si="20"/>
        <v>0</v>
      </c>
      <c r="R124" s="181"/>
      <c r="S124" s="76"/>
      <c r="T124" s="76"/>
      <c r="U124" s="75">
        <f t="shared" si="21"/>
        <v>0</v>
      </c>
    </row>
    <row r="125" spans="1:21" x14ac:dyDescent="0.25">
      <c r="A125" s="47">
        <v>14</v>
      </c>
      <c r="B125" s="47"/>
      <c r="C125" s="76"/>
      <c r="D125" s="76"/>
      <c r="E125" s="75">
        <f t="shared" si="17"/>
        <v>0</v>
      </c>
      <c r="F125" s="181"/>
      <c r="G125" s="76"/>
      <c r="H125" s="76"/>
      <c r="I125" s="75">
        <f t="shared" si="18"/>
        <v>0</v>
      </c>
      <c r="J125" s="181"/>
      <c r="K125" s="76"/>
      <c r="L125" s="76"/>
      <c r="M125" s="75">
        <f t="shared" si="19"/>
        <v>0</v>
      </c>
      <c r="N125" s="181"/>
      <c r="O125" s="76"/>
      <c r="P125" s="76"/>
      <c r="Q125" s="75">
        <f t="shared" si="20"/>
        <v>0</v>
      </c>
      <c r="R125" s="181"/>
      <c r="S125" s="76"/>
      <c r="T125" s="76"/>
      <c r="U125" s="75">
        <f t="shared" si="21"/>
        <v>0</v>
      </c>
    </row>
    <row r="126" spans="1:21" x14ac:dyDescent="0.25">
      <c r="A126" s="47">
        <v>15</v>
      </c>
      <c r="B126" s="47"/>
      <c r="C126" s="76"/>
      <c r="D126" s="76"/>
      <c r="E126" s="75"/>
      <c r="F126" s="181"/>
      <c r="G126" s="76"/>
      <c r="H126" s="76"/>
      <c r="I126" s="75"/>
      <c r="J126" s="181"/>
      <c r="K126" s="76"/>
      <c r="L126" s="76"/>
      <c r="M126" s="75"/>
      <c r="N126" s="181"/>
      <c r="O126" s="76"/>
      <c r="P126" s="76"/>
      <c r="Q126" s="75"/>
      <c r="R126" s="181"/>
      <c r="S126" s="76"/>
      <c r="T126" s="76"/>
      <c r="U126" s="75"/>
    </row>
    <row r="127" spans="1:21" x14ac:dyDescent="0.25">
      <c r="A127" s="32"/>
      <c r="B127" s="47" t="s">
        <v>56</v>
      </c>
      <c r="C127" s="169">
        <f>SUM(C112:C125)</f>
        <v>1207</v>
      </c>
      <c r="D127" s="170"/>
      <c r="E127" s="171"/>
      <c r="F127" s="181"/>
      <c r="G127" s="177">
        <f>SUM(G112:G125)</f>
        <v>1231</v>
      </c>
      <c r="H127" s="178"/>
      <c r="I127" s="179"/>
      <c r="J127" s="181"/>
      <c r="K127" s="177">
        <f>SUM(K112:K125)</f>
        <v>1206</v>
      </c>
      <c r="L127" s="178"/>
      <c r="M127" s="179"/>
      <c r="N127" s="181"/>
      <c r="O127" s="177">
        <f>SUM(O112:O125)</f>
        <v>1211</v>
      </c>
      <c r="P127" s="178"/>
      <c r="Q127" s="179"/>
      <c r="R127" s="181"/>
      <c r="S127" s="177">
        <f>SUM(S112:S125)</f>
        <v>1216</v>
      </c>
      <c r="T127" s="178"/>
      <c r="U127" s="179"/>
    </row>
    <row r="128" spans="1:21" x14ac:dyDescent="0.25">
      <c r="A128" s="32"/>
      <c r="B128" s="47" t="s">
        <v>57</v>
      </c>
      <c r="C128" s="169">
        <f>SUM(E112:E125)/C127</f>
        <v>9.7125944167357083</v>
      </c>
      <c r="D128" s="170"/>
      <c r="E128" s="171"/>
      <c r="F128" s="182"/>
      <c r="G128" s="177">
        <f>SUM(I112:I125)/G127</f>
        <v>9.5090554654752228</v>
      </c>
      <c r="H128" s="178"/>
      <c r="I128" s="179"/>
      <c r="J128" s="182"/>
      <c r="K128" s="177">
        <f>SUM(M112:M125)/K127</f>
        <v>9.5818101194029861</v>
      </c>
      <c r="L128" s="178"/>
      <c r="M128" s="179"/>
      <c r="N128" s="182"/>
      <c r="O128" s="177">
        <f>SUM(Q112:Q125)/O127</f>
        <v>9.5758850165152776</v>
      </c>
      <c r="P128" s="178"/>
      <c r="Q128" s="179"/>
      <c r="R128" s="182"/>
      <c r="S128" s="177">
        <f>SUM(U112:U125)/S127</f>
        <v>9.3612151299342106</v>
      </c>
      <c r="T128" s="178"/>
      <c r="U128" s="179"/>
    </row>
    <row r="129" spans="1:21" x14ac:dyDescent="0.25">
      <c r="D129" t="s">
        <v>61</v>
      </c>
      <c r="E129" t="s">
        <v>62</v>
      </c>
      <c r="H129" t="s">
        <v>61</v>
      </c>
      <c r="I129" t="s">
        <v>62</v>
      </c>
      <c r="L129" t="s">
        <v>61</v>
      </c>
      <c r="M129" t="s">
        <v>62</v>
      </c>
      <c r="P129" t="s">
        <v>61</v>
      </c>
      <c r="Q129" t="s">
        <v>62</v>
      </c>
      <c r="T129" t="s">
        <v>61</v>
      </c>
      <c r="U129" t="s">
        <v>62</v>
      </c>
    </row>
    <row r="130" spans="1:21" x14ac:dyDescent="0.25">
      <c r="B130" s="47" t="s">
        <v>60</v>
      </c>
      <c r="C130" s="76">
        <v>28768</v>
      </c>
      <c r="D130" s="76">
        <v>0.305176</v>
      </c>
      <c r="E130" s="75">
        <v>1.4177E-2</v>
      </c>
      <c r="G130" s="76"/>
      <c r="H130" s="76"/>
      <c r="I130" s="75"/>
      <c r="K130" s="76"/>
      <c r="L130" s="76"/>
      <c r="M130" s="75"/>
      <c r="O130" s="76"/>
      <c r="P130" s="76"/>
      <c r="Q130" s="75"/>
      <c r="S130" s="76"/>
      <c r="T130" s="76"/>
      <c r="U130" s="75"/>
    </row>
    <row r="133" spans="1:21" x14ac:dyDescent="0.25">
      <c r="A133" s="167" t="s">
        <v>121</v>
      </c>
      <c r="B133" s="167"/>
      <c r="C133" s="167" t="s">
        <v>155</v>
      </c>
      <c r="D133" s="167"/>
      <c r="E133" s="167"/>
      <c r="F133" s="180"/>
      <c r="G133" s="167" t="s">
        <v>225</v>
      </c>
      <c r="H133" s="167"/>
      <c r="I133" s="167"/>
      <c r="J133" s="180"/>
      <c r="K133" s="167" t="s">
        <v>157</v>
      </c>
      <c r="L133" s="167"/>
      <c r="M133" s="167"/>
      <c r="N133" s="180"/>
      <c r="O133" s="167" t="s">
        <v>160</v>
      </c>
      <c r="P133" s="167"/>
      <c r="Q133" s="167"/>
      <c r="R133" s="180"/>
      <c r="S133" s="167" t="s">
        <v>161</v>
      </c>
      <c r="T133" s="167"/>
      <c r="U133" s="167"/>
    </row>
    <row r="134" spans="1:21" x14ac:dyDescent="0.25">
      <c r="A134" s="167"/>
      <c r="B134" s="167"/>
      <c r="C134" s="167"/>
      <c r="D134" s="167"/>
      <c r="E134" s="167"/>
      <c r="F134" s="181"/>
      <c r="G134" s="167"/>
      <c r="H134" s="167"/>
      <c r="I134" s="167"/>
      <c r="J134" s="181"/>
      <c r="K134" s="167"/>
      <c r="L134" s="167"/>
      <c r="M134" s="167"/>
      <c r="N134" s="181"/>
      <c r="O134" s="167"/>
      <c r="P134" s="167"/>
      <c r="Q134" s="167"/>
      <c r="R134" s="181"/>
      <c r="S134" s="167"/>
      <c r="T134" s="167"/>
      <c r="U134" s="167"/>
    </row>
    <row r="135" spans="1:21" x14ac:dyDescent="0.25">
      <c r="A135" s="47"/>
      <c r="B135" s="47" t="s">
        <v>19</v>
      </c>
      <c r="C135" s="75" t="s">
        <v>53</v>
      </c>
      <c r="D135" s="75" t="s">
        <v>54</v>
      </c>
      <c r="E135" s="75" t="s">
        <v>55</v>
      </c>
      <c r="F135" s="181"/>
      <c r="G135" s="75" t="s">
        <v>53</v>
      </c>
      <c r="H135" s="75" t="s">
        <v>54</v>
      </c>
      <c r="I135" s="75" t="s">
        <v>55</v>
      </c>
      <c r="J135" s="181"/>
      <c r="K135" s="75" t="s">
        <v>53</v>
      </c>
      <c r="L135" s="75" t="s">
        <v>54</v>
      </c>
      <c r="M135" s="75" t="s">
        <v>55</v>
      </c>
      <c r="N135" s="181"/>
      <c r="O135" s="75" t="s">
        <v>53</v>
      </c>
      <c r="P135" s="75" t="s">
        <v>54</v>
      </c>
      <c r="Q135" s="75" t="s">
        <v>55</v>
      </c>
      <c r="R135" s="181"/>
      <c r="S135" s="75" t="s">
        <v>53</v>
      </c>
      <c r="T135" s="75" t="s">
        <v>54</v>
      </c>
      <c r="U135" s="75" t="s">
        <v>55</v>
      </c>
    </row>
    <row r="136" spans="1:21" x14ac:dyDescent="0.25">
      <c r="A136" s="47">
        <v>1</v>
      </c>
      <c r="B136" s="47" t="s">
        <v>35</v>
      </c>
      <c r="C136" s="76">
        <v>288</v>
      </c>
      <c r="D136" s="76">
        <v>3.8953760000000002</v>
      </c>
      <c r="E136" s="75">
        <f>C136*D136</f>
        <v>1121.8682880000001</v>
      </c>
      <c r="F136" s="181"/>
      <c r="G136" s="76">
        <v>289</v>
      </c>
      <c r="H136" s="76">
        <v>7.3273970000000004</v>
      </c>
      <c r="I136" s="75">
        <f>G136*H136</f>
        <v>2117.617733</v>
      </c>
      <c r="J136" s="181"/>
      <c r="K136" s="76">
        <v>287</v>
      </c>
      <c r="L136" s="76">
        <v>3.9066070000000002</v>
      </c>
      <c r="M136" s="75">
        <f>K136*L136</f>
        <v>1121.196209</v>
      </c>
      <c r="N136" s="181"/>
      <c r="O136" s="76">
        <v>278</v>
      </c>
      <c r="P136" s="76">
        <v>4.4944069999999998</v>
      </c>
      <c r="Q136" s="75">
        <f>O136*P136</f>
        <v>1249.445146</v>
      </c>
      <c r="R136" s="181"/>
      <c r="S136" s="76">
        <v>275</v>
      </c>
      <c r="T136" s="76">
        <v>3.962199</v>
      </c>
      <c r="U136" s="75">
        <f>S136*T136</f>
        <v>1089.6047249999999</v>
      </c>
    </row>
    <row r="137" spans="1:21" x14ac:dyDescent="0.25">
      <c r="A137" s="47">
        <v>2</v>
      </c>
      <c r="B137" s="47" t="s">
        <v>36</v>
      </c>
      <c r="C137" s="76">
        <v>138</v>
      </c>
      <c r="D137" s="76">
        <v>3.9183059999999998</v>
      </c>
      <c r="E137" s="75">
        <f t="shared" ref="E137:E149" si="22">C137*D137</f>
        <v>540.72622799999999</v>
      </c>
      <c r="F137" s="181"/>
      <c r="G137" s="76">
        <v>145</v>
      </c>
      <c r="H137" s="76">
        <v>8.0181299999999993</v>
      </c>
      <c r="I137" s="75">
        <f t="shared" ref="I137:I149" si="23">G137*H137</f>
        <v>1162.6288499999998</v>
      </c>
      <c r="J137" s="181"/>
      <c r="K137" s="76">
        <v>138</v>
      </c>
      <c r="L137" s="76">
        <v>4.063561</v>
      </c>
      <c r="M137" s="75">
        <f t="shared" ref="M137:M149" si="24">K137*L137</f>
        <v>560.77141800000004</v>
      </c>
      <c r="N137" s="181"/>
      <c r="O137" s="76">
        <v>135</v>
      </c>
      <c r="P137" s="76">
        <v>4.2432619999999996</v>
      </c>
      <c r="Q137" s="75">
        <f t="shared" ref="Q137:Q149" si="25">O137*P137</f>
        <v>572.84037000000001</v>
      </c>
      <c r="R137" s="181"/>
      <c r="S137" s="76">
        <v>140</v>
      </c>
      <c r="T137" s="76">
        <v>3.8582939999999999</v>
      </c>
      <c r="U137" s="75">
        <f t="shared" ref="U137:U149" si="26">S137*T137</f>
        <v>540.16116</v>
      </c>
    </row>
    <row r="138" spans="1:21" x14ac:dyDescent="0.25">
      <c r="A138" s="47">
        <v>3</v>
      </c>
      <c r="B138" s="47" t="s">
        <v>27</v>
      </c>
      <c r="C138" s="76">
        <v>322</v>
      </c>
      <c r="D138" s="76">
        <v>7.2018300000000002</v>
      </c>
      <c r="E138" s="75">
        <f t="shared" si="22"/>
        <v>2318.9892599999998</v>
      </c>
      <c r="F138" s="181"/>
      <c r="G138" s="76">
        <v>326</v>
      </c>
      <c r="H138" s="76">
        <v>13.698503000000001</v>
      </c>
      <c r="I138" s="75">
        <f t="shared" si="23"/>
        <v>4465.7119780000003</v>
      </c>
      <c r="J138" s="181"/>
      <c r="K138" s="76">
        <v>321</v>
      </c>
      <c r="L138" s="76">
        <v>7.1833369999999999</v>
      </c>
      <c r="M138" s="75">
        <f t="shared" si="24"/>
        <v>2305.851177</v>
      </c>
      <c r="N138" s="181"/>
      <c r="O138" s="76">
        <v>323</v>
      </c>
      <c r="P138" s="76">
        <v>7.7994659999999998</v>
      </c>
      <c r="Q138" s="75">
        <f t="shared" si="25"/>
        <v>2519.2275180000001</v>
      </c>
      <c r="R138" s="181"/>
      <c r="S138" s="76">
        <v>321</v>
      </c>
      <c r="T138" s="76">
        <v>7.2340169999999997</v>
      </c>
      <c r="U138" s="75">
        <f t="shared" si="26"/>
        <v>2322.1194569999998</v>
      </c>
    </row>
    <row r="139" spans="1:21" s="120" customFormat="1" x14ac:dyDescent="0.25">
      <c r="A139" s="129">
        <v>4</v>
      </c>
      <c r="B139" s="129" t="s">
        <v>28</v>
      </c>
      <c r="C139" s="73">
        <v>145</v>
      </c>
      <c r="D139" s="73">
        <v>4.7581990000000003</v>
      </c>
      <c r="E139" s="73">
        <f t="shared" si="22"/>
        <v>689.93885499999999</v>
      </c>
      <c r="F139" s="181"/>
      <c r="G139" s="73">
        <v>141</v>
      </c>
      <c r="H139" s="73">
        <v>7.4550080000000003</v>
      </c>
      <c r="I139" s="73">
        <f t="shared" si="23"/>
        <v>1051.1561280000001</v>
      </c>
      <c r="J139" s="181"/>
      <c r="K139" s="73">
        <v>145</v>
      </c>
      <c r="L139" s="73">
        <v>5.9017600000000003</v>
      </c>
      <c r="M139" s="73">
        <f t="shared" si="24"/>
        <v>855.75520000000006</v>
      </c>
      <c r="N139" s="181"/>
      <c r="O139" s="73">
        <v>143</v>
      </c>
      <c r="P139" s="73">
        <v>6.0561610000000003</v>
      </c>
      <c r="Q139" s="73">
        <f t="shared" si="25"/>
        <v>866.031023</v>
      </c>
      <c r="R139" s="181"/>
      <c r="S139" s="73">
        <v>147</v>
      </c>
      <c r="T139" s="73">
        <v>6.9105359999999996</v>
      </c>
      <c r="U139" s="73">
        <f t="shared" si="26"/>
        <v>1015.8487919999999</v>
      </c>
    </row>
    <row r="140" spans="1:21" s="132" customFormat="1" x14ac:dyDescent="0.25">
      <c r="A140" s="130">
        <v>5</v>
      </c>
      <c r="B140" s="130" t="s">
        <v>25</v>
      </c>
      <c r="C140" s="131">
        <v>37</v>
      </c>
      <c r="D140" s="131">
        <v>9.5303850000000008</v>
      </c>
      <c r="E140" s="131">
        <f t="shared" si="22"/>
        <v>352.62424500000003</v>
      </c>
      <c r="F140" s="181"/>
      <c r="G140" s="131">
        <v>45</v>
      </c>
      <c r="H140" s="131">
        <v>15.366872000000001</v>
      </c>
      <c r="I140" s="131">
        <f t="shared" si="23"/>
        <v>691.50924000000009</v>
      </c>
      <c r="J140" s="181"/>
      <c r="K140" s="131">
        <v>38</v>
      </c>
      <c r="L140" s="131">
        <v>19.982655000000001</v>
      </c>
      <c r="M140" s="131">
        <f t="shared" si="24"/>
        <v>759.34089000000006</v>
      </c>
      <c r="N140" s="181"/>
      <c r="O140" s="131">
        <v>37</v>
      </c>
      <c r="P140" s="131">
        <v>22.560402</v>
      </c>
      <c r="Q140" s="131">
        <f t="shared" si="25"/>
        <v>834.73487399999999</v>
      </c>
      <c r="R140" s="181"/>
      <c r="S140" s="131">
        <v>36</v>
      </c>
      <c r="T140" s="131">
        <v>26.524861000000001</v>
      </c>
      <c r="U140" s="131">
        <f t="shared" si="26"/>
        <v>954.89499599999999</v>
      </c>
    </row>
    <row r="141" spans="1:21" x14ac:dyDescent="0.25">
      <c r="A141" s="47">
        <v>6</v>
      </c>
      <c r="B141" s="47" t="s">
        <v>29</v>
      </c>
      <c r="C141" s="76">
        <v>297</v>
      </c>
      <c r="D141" s="76">
        <v>5.3543690000000002</v>
      </c>
      <c r="E141" s="75">
        <f t="shared" si="22"/>
        <v>1590.2475930000001</v>
      </c>
      <c r="F141" s="181"/>
      <c r="G141" s="76">
        <v>290</v>
      </c>
      <c r="H141" s="76">
        <v>8.8000000000000007</v>
      </c>
      <c r="I141" s="75">
        <f t="shared" si="23"/>
        <v>2552</v>
      </c>
      <c r="J141" s="181"/>
      <c r="K141" s="76">
        <v>309</v>
      </c>
      <c r="L141" s="76">
        <v>5.4812690000000002</v>
      </c>
      <c r="M141" s="75">
        <f t="shared" si="24"/>
        <v>1693.712121</v>
      </c>
      <c r="N141" s="181"/>
      <c r="O141" s="76">
        <v>303</v>
      </c>
      <c r="P141" s="76">
        <v>5.83352</v>
      </c>
      <c r="Q141" s="75">
        <f t="shared" si="25"/>
        <v>1767.55656</v>
      </c>
      <c r="R141" s="181"/>
      <c r="S141" s="76">
        <v>297</v>
      </c>
      <c r="T141" s="76">
        <v>5.692304</v>
      </c>
      <c r="U141" s="75">
        <f t="shared" si="26"/>
        <v>1690.614288</v>
      </c>
    </row>
    <row r="142" spans="1:21" x14ac:dyDescent="0.25">
      <c r="A142" s="47">
        <v>7</v>
      </c>
      <c r="B142" s="47"/>
      <c r="C142" s="76"/>
      <c r="D142" s="76"/>
      <c r="E142" s="75">
        <f t="shared" si="22"/>
        <v>0</v>
      </c>
      <c r="F142" s="181"/>
      <c r="G142" s="76"/>
      <c r="H142" s="76"/>
      <c r="I142" s="75">
        <f t="shared" si="23"/>
        <v>0</v>
      </c>
      <c r="J142" s="181"/>
      <c r="K142" s="76"/>
      <c r="L142" s="76"/>
      <c r="M142" s="75">
        <f t="shared" si="24"/>
        <v>0</v>
      </c>
      <c r="N142" s="181"/>
      <c r="O142" s="76"/>
      <c r="P142" s="76"/>
      <c r="Q142" s="75">
        <f t="shared" si="25"/>
        <v>0</v>
      </c>
      <c r="R142" s="181"/>
      <c r="S142" s="76"/>
      <c r="T142" s="76"/>
      <c r="U142" s="75">
        <f t="shared" si="26"/>
        <v>0</v>
      </c>
    </row>
    <row r="143" spans="1:21" x14ac:dyDescent="0.25">
      <c r="A143" s="47">
        <v>8</v>
      </c>
      <c r="B143" s="47"/>
      <c r="C143" s="76"/>
      <c r="D143" s="76"/>
      <c r="E143" s="75">
        <f t="shared" si="22"/>
        <v>0</v>
      </c>
      <c r="F143" s="181"/>
      <c r="G143" s="76"/>
      <c r="H143" s="76"/>
      <c r="I143" s="75">
        <f t="shared" si="23"/>
        <v>0</v>
      </c>
      <c r="J143" s="181"/>
      <c r="K143" s="76"/>
      <c r="L143" s="76"/>
      <c r="M143" s="75">
        <f t="shared" si="24"/>
        <v>0</v>
      </c>
      <c r="N143" s="181"/>
      <c r="O143" s="76"/>
      <c r="P143" s="76"/>
      <c r="Q143" s="75">
        <f t="shared" si="25"/>
        <v>0</v>
      </c>
      <c r="R143" s="181"/>
      <c r="S143" s="76"/>
      <c r="T143" s="76"/>
      <c r="U143" s="75">
        <f t="shared" si="26"/>
        <v>0</v>
      </c>
    </row>
    <row r="144" spans="1:21" x14ac:dyDescent="0.25">
      <c r="A144" s="47">
        <v>9</v>
      </c>
      <c r="B144" s="47"/>
      <c r="C144" s="76"/>
      <c r="D144" s="76"/>
      <c r="E144" s="75">
        <f t="shared" si="22"/>
        <v>0</v>
      </c>
      <c r="F144" s="181"/>
      <c r="G144" s="76"/>
      <c r="H144" s="76"/>
      <c r="I144" s="75">
        <f t="shared" si="23"/>
        <v>0</v>
      </c>
      <c r="J144" s="181"/>
      <c r="K144" s="76"/>
      <c r="L144" s="76"/>
      <c r="M144" s="75">
        <f t="shared" si="24"/>
        <v>0</v>
      </c>
      <c r="N144" s="181"/>
      <c r="O144" s="76"/>
      <c r="P144" s="76"/>
      <c r="Q144" s="75">
        <f t="shared" si="25"/>
        <v>0</v>
      </c>
      <c r="R144" s="181"/>
      <c r="S144" s="76"/>
      <c r="T144" s="76"/>
      <c r="U144" s="75">
        <f t="shared" si="26"/>
        <v>0</v>
      </c>
    </row>
    <row r="145" spans="1:21" x14ac:dyDescent="0.25">
      <c r="A145" s="47">
        <v>10</v>
      </c>
      <c r="B145" s="47"/>
      <c r="C145" s="76"/>
      <c r="D145" s="76"/>
      <c r="E145" s="75">
        <f t="shared" si="22"/>
        <v>0</v>
      </c>
      <c r="F145" s="181"/>
      <c r="G145" s="76"/>
      <c r="H145" s="76"/>
      <c r="I145" s="75">
        <f t="shared" si="23"/>
        <v>0</v>
      </c>
      <c r="J145" s="181"/>
      <c r="K145" s="76"/>
      <c r="L145" s="76"/>
      <c r="M145" s="75">
        <f t="shared" si="24"/>
        <v>0</v>
      </c>
      <c r="N145" s="181"/>
      <c r="O145" s="76"/>
      <c r="P145" s="76"/>
      <c r="Q145" s="75">
        <f t="shared" si="25"/>
        <v>0</v>
      </c>
      <c r="R145" s="181"/>
      <c r="S145" s="76"/>
      <c r="T145" s="76"/>
      <c r="U145" s="75">
        <f t="shared" si="26"/>
        <v>0</v>
      </c>
    </row>
    <row r="146" spans="1:21" x14ac:dyDescent="0.25">
      <c r="A146" s="47">
        <v>11</v>
      </c>
      <c r="B146" s="47"/>
      <c r="C146" s="76"/>
      <c r="D146" s="76"/>
      <c r="E146" s="75">
        <f t="shared" si="22"/>
        <v>0</v>
      </c>
      <c r="F146" s="181"/>
      <c r="G146" s="76"/>
      <c r="H146" s="76"/>
      <c r="I146" s="75">
        <f t="shared" si="23"/>
        <v>0</v>
      </c>
      <c r="J146" s="181"/>
      <c r="K146" s="76"/>
      <c r="L146" s="76"/>
      <c r="M146" s="75">
        <f t="shared" si="24"/>
        <v>0</v>
      </c>
      <c r="N146" s="181"/>
      <c r="O146" s="76"/>
      <c r="P146" s="76"/>
      <c r="Q146" s="75">
        <f t="shared" si="25"/>
        <v>0</v>
      </c>
      <c r="R146" s="181"/>
      <c r="S146" s="76"/>
      <c r="T146" s="76"/>
      <c r="U146" s="75">
        <f t="shared" si="26"/>
        <v>0</v>
      </c>
    </row>
    <row r="147" spans="1:21" x14ac:dyDescent="0.25">
      <c r="A147" s="47">
        <v>12</v>
      </c>
      <c r="B147" s="47"/>
      <c r="C147" s="76"/>
      <c r="D147" s="76"/>
      <c r="E147" s="75">
        <f t="shared" si="22"/>
        <v>0</v>
      </c>
      <c r="F147" s="181"/>
      <c r="G147" s="76"/>
      <c r="H147" s="76"/>
      <c r="I147" s="75">
        <f t="shared" si="23"/>
        <v>0</v>
      </c>
      <c r="J147" s="181"/>
      <c r="K147" s="76"/>
      <c r="L147" s="76"/>
      <c r="M147" s="75">
        <f t="shared" si="24"/>
        <v>0</v>
      </c>
      <c r="N147" s="181"/>
      <c r="O147" s="76"/>
      <c r="P147" s="76"/>
      <c r="Q147" s="75">
        <f t="shared" si="25"/>
        <v>0</v>
      </c>
      <c r="R147" s="181"/>
      <c r="S147" s="76"/>
      <c r="T147" s="76"/>
      <c r="U147" s="75">
        <f t="shared" si="26"/>
        <v>0</v>
      </c>
    </row>
    <row r="148" spans="1:21" x14ac:dyDescent="0.25">
      <c r="A148" s="47">
        <v>13</v>
      </c>
      <c r="B148" s="47"/>
      <c r="C148" s="76"/>
      <c r="D148" s="76"/>
      <c r="E148" s="75">
        <f t="shared" si="22"/>
        <v>0</v>
      </c>
      <c r="F148" s="181"/>
      <c r="G148" s="76"/>
      <c r="H148" s="76"/>
      <c r="I148" s="75">
        <f t="shared" si="23"/>
        <v>0</v>
      </c>
      <c r="J148" s="181"/>
      <c r="K148" s="76"/>
      <c r="L148" s="76"/>
      <c r="M148" s="75">
        <f t="shared" si="24"/>
        <v>0</v>
      </c>
      <c r="N148" s="181"/>
      <c r="O148" s="76"/>
      <c r="P148" s="76"/>
      <c r="Q148" s="75">
        <f t="shared" si="25"/>
        <v>0</v>
      </c>
      <c r="R148" s="181"/>
      <c r="S148" s="76"/>
      <c r="T148" s="76"/>
      <c r="U148" s="75">
        <f t="shared" si="26"/>
        <v>0</v>
      </c>
    </row>
    <row r="149" spans="1:21" x14ac:dyDescent="0.25">
      <c r="A149" s="47">
        <v>14</v>
      </c>
      <c r="B149" s="47"/>
      <c r="C149" s="76"/>
      <c r="D149" s="76"/>
      <c r="E149" s="75">
        <f t="shared" si="22"/>
        <v>0</v>
      </c>
      <c r="F149" s="181"/>
      <c r="G149" s="76"/>
      <c r="H149" s="76"/>
      <c r="I149" s="75">
        <f t="shared" si="23"/>
        <v>0</v>
      </c>
      <c r="J149" s="181"/>
      <c r="K149" s="76"/>
      <c r="L149" s="76"/>
      <c r="M149" s="75">
        <f t="shared" si="24"/>
        <v>0</v>
      </c>
      <c r="N149" s="181"/>
      <c r="O149" s="76"/>
      <c r="P149" s="76"/>
      <c r="Q149" s="75">
        <f t="shared" si="25"/>
        <v>0</v>
      </c>
      <c r="R149" s="181"/>
      <c r="S149" s="76"/>
      <c r="T149" s="76"/>
      <c r="U149" s="75">
        <f t="shared" si="26"/>
        <v>0</v>
      </c>
    </row>
    <row r="150" spans="1:21" x14ac:dyDescent="0.25">
      <c r="A150" s="47">
        <v>15</v>
      </c>
      <c r="B150" s="47"/>
      <c r="C150" s="76"/>
      <c r="D150" s="76"/>
      <c r="E150" s="75"/>
      <c r="F150" s="181"/>
      <c r="G150" s="76"/>
      <c r="H150" s="76"/>
      <c r="I150" s="75"/>
      <c r="J150" s="181"/>
      <c r="K150" s="76"/>
      <c r="L150" s="76"/>
      <c r="M150" s="75"/>
      <c r="N150" s="181"/>
      <c r="O150" s="76"/>
      <c r="P150" s="76"/>
      <c r="Q150" s="75"/>
      <c r="R150" s="181"/>
      <c r="S150" s="76"/>
      <c r="T150" s="76"/>
      <c r="U150" s="75"/>
    </row>
    <row r="151" spans="1:21" x14ac:dyDescent="0.25">
      <c r="A151" s="32"/>
      <c r="B151" s="47" t="s">
        <v>56</v>
      </c>
      <c r="C151" s="169">
        <f>SUM(C136:C149)</f>
        <v>1227</v>
      </c>
      <c r="D151" s="170"/>
      <c r="E151" s="171"/>
      <c r="F151" s="181"/>
      <c r="G151" s="177">
        <f>SUM(G136:G149)</f>
        <v>1236</v>
      </c>
      <c r="H151" s="178"/>
      <c r="I151" s="179"/>
      <c r="J151" s="181"/>
      <c r="K151" s="177">
        <f>SUM(K136:K149)</f>
        <v>1238</v>
      </c>
      <c r="L151" s="178"/>
      <c r="M151" s="179"/>
      <c r="N151" s="181"/>
      <c r="O151" s="177">
        <f>SUM(O136:O149)</f>
        <v>1219</v>
      </c>
      <c r="P151" s="178"/>
      <c r="Q151" s="179"/>
      <c r="R151" s="181"/>
      <c r="S151" s="177">
        <f>SUM(S136:S149)</f>
        <v>1216</v>
      </c>
      <c r="T151" s="178"/>
      <c r="U151" s="179"/>
    </row>
    <row r="152" spans="1:21" x14ac:dyDescent="0.25">
      <c r="A152" s="32"/>
      <c r="B152" s="47" t="s">
        <v>57</v>
      </c>
      <c r="C152" s="169">
        <f>SUM(E136:E149)/C151</f>
        <v>5.3907045387123063</v>
      </c>
      <c r="D152" s="170"/>
      <c r="E152" s="171"/>
      <c r="F152" s="182"/>
      <c r="G152" s="177">
        <f>SUM(I136:I149)/G151</f>
        <v>9.7416051205501617</v>
      </c>
      <c r="H152" s="178"/>
      <c r="I152" s="179"/>
      <c r="J152" s="182"/>
      <c r="K152" s="177">
        <f>SUM(M136:M149)/K151</f>
        <v>5.8938828877221328</v>
      </c>
      <c r="L152" s="178"/>
      <c r="M152" s="179"/>
      <c r="N152" s="182"/>
      <c r="O152" s="177">
        <f>SUM(Q136:Q149)/O151</f>
        <v>6.4067559401148477</v>
      </c>
      <c r="P152" s="178"/>
      <c r="Q152" s="179"/>
      <c r="R152" s="182"/>
      <c r="S152" s="177">
        <f>SUM(U136:U149)/S151</f>
        <v>6.2608909687499992</v>
      </c>
      <c r="T152" s="178"/>
      <c r="U152" s="179"/>
    </row>
    <row r="153" spans="1:21" x14ac:dyDescent="0.25">
      <c r="D153" t="s">
        <v>61</v>
      </c>
      <c r="E153" t="s">
        <v>62</v>
      </c>
      <c r="H153" t="s">
        <v>61</v>
      </c>
      <c r="I153" t="s">
        <v>62</v>
      </c>
      <c r="L153" t="s">
        <v>61</v>
      </c>
      <c r="M153" t="s">
        <v>62</v>
      </c>
      <c r="P153" t="s">
        <v>61</v>
      </c>
      <c r="Q153" t="s">
        <v>62</v>
      </c>
      <c r="T153" t="s">
        <v>61</v>
      </c>
      <c r="U153" t="s">
        <v>62</v>
      </c>
    </row>
    <row r="154" spans="1:21" x14ac:dyDescent="0.25">
      <c r="B154" s="47" t="s">
        <v>60</v>
      </c>
      <c r="C154" s="76">
        <v>28774</v>
      </c>
      <c r="D154" s="76">
        <v>0.305176</v>
      </c>
      <c r="E154" s="75">
        <v>3.5579E-2</v>
      </c>
      <c r="G154" s="76">
        <v>28778</v>
      </c>
      <c r="H154" s="76">
        <v>0.27974399999999999</v>
      </c>
      <c r="I154" s="75">
        <v>1.7107000000000001E-2</v>
      </c>
      <c r="K154" s="76">
        <v>28763</v>
      </c>
      <c r="L154" s="76">
        <v>0.27974399999999999</v>
      </c>
      <c r="M154" s="75">
        <v>1.0919E-2</v>
      </c>
      <c r="O154" s="76">
        <v>29082</v>
      </c>
      <c r="P154" s="76">
        <v>2.1489459999999998E-2</v>
      </c>
      <c r="Q154" s="75">
        <v>6.0236999999999999E-2</v>
      </c>
      <c r="S154" s="76">
        <v>28781</v>
      </c>
      <c r="T154" s="76">
        <v>0.305176</v>
      </c>
      <c r="U154" s="75">
        <v>1.6475E-2</v>
      </c>
    </row>
  </sheetData>
  <mergeCells count="99">
    <mergeCell ref="A1:B2"/>
    <mergeCell ref="C1:E2"/>
    <mergeCell ref="F1:F20"/>
    <mergeCell ref="G1:I2"/>
    <mergeCell ref="J1:J20"/>
    <mergeCell ref="C20:E20"/>
    <mergeCell ref="G20:I20"/>
    <mergeCell ref="O1:Q2"/>
    <mergeCell ref="T1:V2"/>
    <mergeCell ref="Z3:AA3"/>
    <mergeCell ref="AB3:AC3"/>
    <mergeCell ref="C19:E19"/>
    <mergeCell ref="G19:I19"/>
    <mergeCell ref="K19:M19"/>
    <mergeCell ref="O19:Q19"/>
    <mergeCell ref="T19:V19"/>
    <mergeCell ref="K1:M2"/>
    <mergeCell ref="O20:Q20"/>
    <mergeCell ref="T20:V20"/>
    <mergeCell ref="A28:B29"/>
    <mergeCell ref="C28:E29"/>
    <mergeCell ref="F28:F47"/>
    <mergeCell ref="G28:I29"/>
    <mergeCell ref="J28:J47"/>
    <mergeCell ref="K28:M29"/>
    <mergeCell ref="O28:Q29"/>
    <mergeCell ref="C46:E46"/>
    <mergeCell ref="K20:M20"/>
    <mergeCell ref="G46:I46"/>
    <mergeCell ref="K46:M46"/>
    <mergeCell ref="O46:Q46"/>
    <mergeCell ref="C47:E47"/>
    <mergeCell ref="G47:I47"/>
    <mergeCell ref="K47:M47"/>
    <mergeCell ref="O47:Q47"/>
    <mergeCell ref="K56:M57"/>
    <mergeCell ref="C74:E74"/>
    <mergeCell ref="G74:I74"/>
    <mergeCell ref="K74:M74"/>
    <mergeCell ref="C75:E75"/>
    <mergeCell ref="A56:B57"/>
    <mergeCell ref="C56:E57"/>
    <mergeCell ref="F56:F75"/>
    <mergeCell ref="G56:I57"/>
    <mergeCell ref="J56:J75"/>
    <mergeCell ref="G75:I75"/>
    <mergeCell ref="K75:M75"/>
    <mergeCell ref="A83:B84"/>
    <mergeCell ref="C83:E84"/>
    <mergeCell ref="F83:F102"/>
    <mergeCell ref="G83:I84"/>
    <mergeCell ref="J83:J102"/>
    <mergeCell ref="K83:M84"/>
    <mergeCell ref="C101:E101"/>
    <mergeCell ref="G101:I101"/>
    <mergeCell ref="K101:M101"/>
    <mergeCell ref="C102:E102"/>
    <mergeCell ref="G102:I102"/>
    <mergeCell ref="K102:M102"/>
    <mergeCell ref="A109:B110"/>
    <mergeCell ref="C109:E110"/>
    <mergeCell ref="F109:F128"/>
    <mergeCell ref="G109:I110"/>
    <mergeCell ref="J109:J128"/>
    <mergeCell ref="K109:M110"/>
    <mergeCell ref="A133:B134"/>
    <mergeCell ref="C133:E134"/>
    <mergeCell ref="F133:F152"/>
    <mergeCell ref="G133:I134"/>
    <mergeCell ref="J133:J152"/>
    <mergeCell ref="C152:E152"/>
    <mergeCell ref="G128:I128"/>
    <mergeCell ref="K128:M128"/>
    <mergeCell ref="O128:Q128"/>
    <mergeCell ref="S128:U128"/>
    <mergeCell ref="K133:M134"/>
    <mergeCell ref="N109:N128"/>
    <mergeCell ref="O109:Q110"/>
    <mergeCell ref="R109:R128"/>
    <mergeCell ref="S109:U110"/>
    <mergeCell ref="C127:E127"/>
    <mergeCell ref="G127:I127"/>
    <mergeCell ref="K127:M127"/>
    <mergeCell ref="O127:Q127"/>
    <mergeCell ref="S127:U127"/>
    <mergeCell ref="C128:E128"/>
    <mergeCell ref="C151:E151"/>
    <mergeCell ref="G151:I151"/>
    <mergeCell ref="K151:M151"/>
    <mergeCell ref="O151:Q151"/>
    <mergeCell ref="S151:U151"/>
    <mergeCell ref="G152:I152"/>
    <mergeCell ref="K152:M152"/>
    <mergeCell ref="O152:Q152"/>
    <mergeCell ref="S152:U152"/>
    <mergeCell ref="N133:N152"/>
    <mergeCell ref="O133:Q134"/>
    <mergeCell ref="R133:R152"/>
    <mergeCell ref="S133:U13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90948-06E4-4643-B1C9-69486E670E10}">
  <dimension ref="B3:X49"/>
  <sheetViews>
    <sheetView topLeftCell="A3" workbookViewId="0">
      <selection activeCell="J14" sqref="J14"/>
    </sheetView>
  </sheetViews>
  <sheetFormatPr defaultRowHeight="15" x14ac:dyDescent="0.25"/>
  <cols>
    <col min="2" max="2" width="19.140625" customWidth="1"/>
    <col min="3" max="3" width="16.7109375" customWidth="1"/>
    <col min="4" max="4" width="18.5703125" customWidth="1"/>
    <col min="5" max="5" width="16.140625" customWidth="1"/>
    <col min="8" max="8" width="17.42578125" customWidth="1"/>
    <col min="9" max="9" width="14.140625" customWidth="1"/>
    <col min="11" max="11" width="11.85546875" customWidth="1"/>
  </cols>
  <sheetData>
    <row r="3" spans="2:24" ht="60" x14ac:dyDescent="0.25">
      <c r="H3" s="32"/>
      <c r="I3" s="94" t="s">
        <v>114</v>
      </c>
      <c r="J3" s="32"/>
      <c r="K3" s="94" t="s">
        <v>115</v>
      </c>
      <c r="U3" s="32"/>
      <c r="V3" s="94" t="s">
        <v>114</v>
      </c>
      <c r="W3" s="32"/>
      <c r="X3" s="94" t="s">
        <v>115</v>
      </c>
    </row>
    <row r="4" spans="2:24" ht="48.75" customHeight="1" x14ac:dyDescent="0.25">
      <c r="H4" s="94" t="s">
        <v>116</v>
      </c>
      <c r="I4" s="94" t="s">
        <v>111</v>
      </c>
      <c r="J4" s="98" t="s">
        <v>112</v>
      </c>
      <c r="K4" s="94" t="s">
        <v>113</v>
      </c>
      <c r="U4" s="94" t="s">
        <v>116</v>
      </c>
      <c r="V4" s="94" t="s">
        <v>111</v>
      </c>
      <c r="W4" s="98" t="s">
        <v>112</v>
      </c>
      <c r="X4" s="94" t="s">
        <v>113</v>
      </c>
    </row>
    <row r="5" spans="2:24" x14ac:dyDescent="0.25">
      <c r="B5" t="str">
        <f>BLE!C20</f>
        <v>State</v>
      </c>
      <c r="C5" t="str">
        <f>BLE!D20</f>
        <v>Time
[µs]</v>
      </c>
      <c r="D5" t="str">
        <f>BLE!E20</f>
        <v>Current [mA]</v>
      </c>
      <c r="E5" t="str">
        <f>BLE!F20</f>
        <v>Time * Current</v>
      </c>
      <c r="H5" s="32">
        <v>0</v>
      </c>
      <c r="I5" s="32">
        <f ca="1">$I$6</f>
        <v>4.439834989761092</v>
      </c>
      <c r="J5" s="32">
        <f ca="1">H5*I5*((10^3)/3600)</f>
        <v>0</v>
      </c>
      <c r="K5" s="32">
        <f>0</f>
        <v>0</v>
      </c>
      <c r="N5">
        <f>BLE!J20</f>
        <v>0</v>
      </c>
      <c r="O5" t="str">
        <f>BLE!K20</f>
        <v>State</v>
      </c>
      <c r="P5" t="str">
        <f>BLE!L20</f>
        <v>Time 
[µs]</v>
      </c>
      <c r="Q5" t="str">
        <f>BLE!M20</f>
        <v>Current [mA]</v>
      </c>
      <c r="R5" t="str">
        <f>BLE!N20</f>
        <v>Time * Current</v>
      </c>
      <c r="S5">
        <f>BLE!O20</f>
        <v>0</v>
      </c>
      <c r="U5">
        <v>0</v>
      </c>
      <c r="V5">
        <f ca="1">Q6</f>
        <v>4.1899999999999995</v>
      </c>
      <c r="W5">
        <v>0</v>
      </c>
      <c r="X5">
        <f>W5</f>
        <v>0</v>
      </c>
    </row>
    <row r="6" spans="2:24" x14ac:dyDescent="0.25">
      <c r="B6" t="str">
        <f>BLE!C21</f>
        <v>Wake Up &amp; Pre-Processing</v>
      </c>
      <c r="C6">
        <f ca="1">BLE!D21</f>
        <v>293</v>
      </c>
      <c r="D6">
        <f ca="1">BLE!E21</f>
        <v>4.439834989761092</v>
      </c>
      <c r="E6">
        <f ca="1">BLE!F21</f>
        <v>1300.871652</v>
      </c>
      <c r="H6" s="32">
        <f ca="1">C6</f>
        <v>293</v>
      </c>
      <c r="I6" s="32">
        <f t="shared" ref="I6" ca="1" si="0">D6</f>
        <v>4.439834989761092</v>
      </c>
      <c r="J6" s="32">
        <f ca="1">H6*I6*((10^3)/3600)</f>
        <v>361.3532366666667</v>
      </c>
      <c r="K6" s="32">
        <f ca="1">K5+J6</f>
        <v>361.3532366666667</v>
      </c>
      <c r="N6">
        <f>BLE!J21</f>
        <v>1</v>
      </c>
      <c r="O6" t="str">
        <f>BLE!K21</f>
        <v>Wake Up &amp; Pre-processing</v>
      </c>
      <c r="P6">
        <f ca="1">BLE!L21</f>
        <v>281</v>
      </c>
      <c r="Q6">
        <f ca="1">BLE!M21</f>
        <v>4.1899999999999995</v>
      </c>
      <c r="R6">
        <f ca="1">BLE!N21</f>
        <v>1177.3899999999999</v>
      </c>
      <c r="S6">
        <f>BLE!O21</f>
        <v>0</v>
      </c>
      <c r="U6">
        <f ca="1">P6</f>
        <v>281</v>
      </c>
      <c r="V6">
        <f ca="1">Q6</f>
        <v>4.1899999999999995</v>
      </c>
      <c r="W6">
        <f ca="1">U6*V6*((10^3)/3600)</f>
        <v>327.05277777777775</v>
      </c>
      <c r="X6">
        <f t="shared" ref="X6:X17" ca="1" si="1">X5+W6</f>
        <v>327.05277777777775</v>
      </c>
    </row>
    <row r="7" spans="2:24" x14ac:dyDescent="0.25">
      <c r="B7" t="str">
        <f>BLE!C22</f>
        <v>Radio Preparation</v>
      </c>
      <c r="C7">
        <f ca="1">BLE!D22</f>
        <v>116</v>
      </c>
      <c r="D7">
        <f ca="1">BLE!E22</f>
        <v>5.1100000000000003</v>
      </c>
      <c r="E7">
        <f ca="1">BLE!F22</f>
        <v>592.76</v>
      </c>
      <c r="H7" s="32">
        <f t="shared" ref="H7" ca="1" si="2">H6</f>
        <v>293</v>
      </c>
      <c r="I7" s="32">
        <f ca="1">$I$8</f>
        <v>5.1100000000000003</v>
      </c>
      <c r="J7" s="32">
        <f t="shared" ref="J7:J33" ca="1" si="3">H7*I7*((10^3)/3600)</f>
        <v>415.89722222222224</v>
      </c>
      <c r="K7" s="32">
        <f t="shared" ref="K7:K32" ca="1" si="4">K6+J7</f>
        <v>777.25045888888894</v>
      </c>
      <c r="N7">
        <f>BLE!J22</f>
        <v>2</v>
      </c>
      <c r="O7" t="str">
        <f>BLE!K22</f>
        <v xml:space="preserve">Preparation for Recieve </v>
      </c>
      <c r="P7">
        <f ca="1">BLE!L22</f>
        <v>138</v>
      </c>
      <c r="Q7">
        <f ca="1">BLE!M22</f>
        <v>4.42</v>
      </c>
      <c r="R7">
        <f ca="1">BLE!N22</f>
        <v>609.96</v>
      </c>
      <c r="S7">
        <f>BLE!O22</f>
        <v>0</v>
      </c>
      <c r="U7">
        <f ca="1">U6</f>
        <v>281</v>
      </c>
      <c r="V7">
        <f ca="1">Q7</f>
        <v>4.42</v>
      </c>
      <c r="W7">
        <f t="shared" ref="W7:W17" ca="1" si="5">U7*V7*((10^3)/3600)</f>
        <v>345.00555555555559</v>
      </c>
      <c r="X7">
        <f t="shared" ca="1" si="1"/>
        <v>672.05833333333339</v>
      </c>
    </row>
    <row r="8" spans="2:24" x14ac:dyDescent="0.25">
      <c r="B8" t="str">
        <f>BLE!C23</f>
        <v>Transmit (TX)</v>
      </c>
      <c r="C8">
        <f ca="1">BLE!D23</f>
        <v>168</v>
      </c>
      <c r="D8">
        <f ca="1">BLE!E23</f>
        <v>10.52</v>
      </c>
      <c r="E8">
        <f ca="1">BLE!F23</f>
        <v>1767.36</v>
      </c>
      <c r="H8" s="32">
        <f ca="1">H6+C7</f>
        <v>409</v>
      </c>
      <c r="I8" s="32">
        <f ca="1">D7</f>
        <v>5.1100000000000003</v>
      </c>
      <c r="J8" s="32">
        <f t="shared" ca="1" si="3"/>
        <v>580.55277777777792</v>
      </c>
      <c r="K8" s="32">
        <f t="shared" ca="1" si="4"/>
        <v>1357.8032366666669</v>
      </c>
      <c r="N8">
        <f>BLE!J23</f>
        <v>3</v>
      </c>
      <c r="O8" t="str">
        <f>BLE!K23</f>
        <v>Recieve (RX)</v>
      </c>
      <c r="P8">
        <f ca="1">BLE!L23</f>
        <v>322</v>
      </c>
      <c r="Q8">
        <f ca="1">BLE!M23</f>
        <v>7.8599999999999994</v>
      </c>
      <c r="R8">
        <f ca="1">BLE!N23</f>
        <v>2530.9199999999996</v>
      </c>
      <c r="S8">
        <f>BLE!O23</f>
        <v>0</v>
      </c>
      <c r="U8">
        <f ca="1">U7+P7</f>
        <v>419</v>
      </c>
      <c r="V8">
        <f ca="1">Q7</f>
        <v>4.42</v>
      </c>
      <c r="W8">
        <f t="shared" ca="1" si="5"/>
        <v>514.43888888888887</v>
      </c>
      <c r="X8">
        <f t="shared" ca="1" si="1"/>
        <v>1186.4972222222223</v>
      </c>
    </row>
    <row r="9" spans="2:24" x14ac:dyDescent="0.25">
      <c r="B9" t="str">
        <f>BLE!C24</f>
        <v>TX to RX transition / IFS</v>
      </c>
      <c r="C9">
        <f ca="1">BLE!D24</f>
        <v>151</v>
      </c>
      <c r="D9">
        <f ca="1">BLE!E24</f>
        <v>4.8</v>
      </c>
      <c r="E9">
        <f ca="1">BLE!F24</f>
        <v>724.8</v>
      </c>
      <c r="H9" s="32">
        <f t="shared" ref="H9" ca="1" si="6">H8</f>
        <v>409</v>
      </c>
      <c r="I9" s="32">
        <f ca="1">$I$10</f>
        <v>10.52</v>
      </c>
      <c r="J9" s="32">
        <f t="shared" ca="1" si="3"/>
        <v>1195.1888888888889</v>
      </c>
      <c r="K9" s="32">
        <f t="shared" ca="1" si="4"/>
        <v>2552.9921255555555</v>
      </c>
      <c r="N9">
        <f>BLE!J24</f>
        <v>4</v>
      </c>
      <c r="O9" t="str">
        <f>BLE!K24</f>
        <v>RX to TX transition</v>
      </c>
      <c r="P9">
        <f ca="1">BLE!L24</f>
        <v>143</v>
      </c>
      <c r="Q9">
        <f ca="1">BLE!M24</f>
        <v>5</v>
      </c>
      <c r="R9">
        <f ca="1">BLE!N24</f>
        <v>715</v>
      </c>
      <c r="S9">
        <f>BLE!O24</f>
        <v>0</v>
      </c>
      <c r="U9">
        <f ca="1">U8</f>
        <v>419</v>
      </c>
      <c r="V9">
        <f ca="1">Q8</f>
        <v>7.8599999999999994</v>
      </c>
      <c r="W9">
        <f t="shared" ca="1" si="5"/>
        <v>914.81666666666661</v>
      </c>
      <c r="X9">
        <f t="shared" ca="1" si="1"/>
        <v>2101.3138888888889</v>
      </c>
    </row>
    <row r="10" spans="2:24" x14ac:dyDescent="0.25">
      <c r="B10" t="str">
        <f>BLE!C25</f>
        <v>Recieve (RX)</v>
      </c>
      <c r="C10">
        <f ca="1">BLE!D25</f>
        <v>148</v>
      </c>
      <c r="D10">
        <f ca="1">BLE!E25</f>
        <v>7.2389598468468472</v>
      </c>
      <c r="E10">
        <f ca="1">BLE!F25</f>
        <v>1071.3660573333334</v>
      </c>
      <c r="H10" s="32">
        <f ca="1">H8+C8</f>
        <v>577</v>
      </c>
      <c r="I10" s="32">
        <f ca="1">D8</f>
        <v>10.52</v>
      </c>
      <c r="J10" s="32">
        <f t="shared" ca="1" si="3"/>
        <v>1686.1222222222223</v>
      </c>
      <c r="K10" s="32">
        <f t="shared" ca="1" si="4"/>
        <v>4239.1143477777778</v>
      </c>
      <c r="N10">
        <f>BLE!J25</f>
        <v>5</v>
      </c>
      <c r="O10" t="str">
        <f>BLE!K25</f>
        <v>Transmit (TX)</v>
      </c>
      <c r="P10">
        <f ca="1">BLE!L25</f>
        <v>39</v>
      </c>
      <c r="Q10">
        <f ca="1">BLE!M25</f>
        <v>11.09</v>
      </c>
      <c r="R10">
        <f ca="1">BLE!N25</f>
        <v>432.51</v>
      </c>
      <c r="S10">
        <f>BLE!O25</f>
        <v>0</v>
      </c>
      <c r="U10">
        <f ca="1">U9+P8</f>
        <v>741</v>
      </c>
      <c r="V10">
        <f ca="1">Q8</f>
        <v>7.8599999999999994</v>
      </c>
      <c r="W10">
        <f t="shared" ca="1" si="5"/>
        <v>1617.85</v>
      </c>
      <c r="X10">
        <f t="shared" ca="1" si="1"/>
        <v>3719.1638888888888</v>
      </c>
    </row>
    <row r="11" spans="2:24" x14ac:dyDescent="0.25">
      <c r="B11" t="str">
        <f>BLE!C26</f>
        <v>RX to TX transition / ICS</v>
      </c>
      <c r="C11">
        <f ca="1">BLE!D26</f>
        <v>121</v>
      </c>
      <c r="D11">
        <f ca="1">BLE!E26</f>
        <v>5.54</v>
      </c>
      <c r="E11">
        <f ca="1">BLE!F26</f>
        <v>670.34</v>
      </c>
      <c r="H11" s="32">
        <f t="shared" ref="H11" ca="1" si="7">H10</f>
        <v>577</v>
      </c>
      <c r="I11" s="32">
        <f ca="1">$I$12</f>
        <v>4.8</v>
      </c>
      <c r="J11" s="32">
        <f t="shared" ca="1" si="3"/>
        <v>769.33333333333337</v>
      </c>
      <c r="K11" s="32">
        <f t="shared" ca="1" si="4"/>
        <v>5008.4476811111108</v>
      </c>
      <c r="N11">
        <f>BLE!J26</f>
        <v>6</v>
      </c>
      <c r="O11" t="str">
        <f>BLE!K26</f>
        <v>Post-Processing</v>
      </c>
      <c r="P11">
        <f ca="1">BLE!L26</f>
        <v>305</v>
      </c>
      <c r="Q11">
        <f ca="1">BLE!M26</f>
        <v>5.8</v>
      </c>
      <c r="R11">
        <f ca="1">BLE!N26</f>
        <v>1769</v>
      </c>
      <c r="S11">
        <f>BLE!O26</f>
        <v>0</v>
      </c>
      <c r="U11">
        <f ca="1">U10</f>
        <v>741</v>
      </c>
      <c r="V11">
        <f ca="1">Q9</f>
        <v>5</v>
      </c>
      <c r="W11">
        <f t="shared" ca="1" si="5"/>
        <v>1029.1666666666667</v>
      </c>
      <c r="X11">
        <f t="shared" ca="1" si="1"/>
        <v>4748.3305555555553</v>
      </c>
    </row>
    <row r="12" spans="2:24" x14ac:dyDescent="0.25">
      <c r="B12" t="str">
        <f>BLE!C27</f>
        <v>Transmit (TX)</v>
      </c>
      <c r="C12">
        <f ca="1">BLE!D27</f>
        <v>168</v>
      </c>
      <c r="D12">
        <f ca="1">BLE!E27</f>
        <v>10.6</v>
      </c>
      <c r="E12">
        <f ca="1">BLE!F27</f>
        <v>1780.8</v>
      </c>
      <c r="H12" s="32">
        <f ca="1">H10+C9</f>
        <v>728</v>
      </c>
      <c r="I12" s="32">
        <f ca="1">D9</f>
        <v>4.8</v>
      </c>
      <c r="J12" s="32">
        <f t="shared" ca="1" si="3"/>
        <v>970.66666666666674</v>
      </c>
      <c r="K12" s="32">
        <f t="shared" ca="1" si="4"/>
        <v>5979.1143477777778</v>
      </c>
      <c r="N12">
        <f>BLE!J27</f>
        <v>7</v>
      </c>
      <c r="O12">
        <f>BLE!K27</f>
        <v>0</v>
      </c>
      <c r="P12">
        <f>BLE!L27</f>
        <v>0</v>
      </c>
      <c r="Q12">
        <f>BLE!M27</f>
        <v>0</v>
      </c>
      <c r="R12">
        <f>BLE!N27</f>
        <v>0</v>
      </c>
      <c r="S12">
        <f>BLE!O27</f>
        <v>0</v>
      </c>
      <c r="U12">
        <f ca="1">U11+P9</f>
        <v>884</v>
      </c>
      <c r="V12">
        <f ca="1">Q9</f>
        <v>5</v>
      </c>
      <c r="W12">
        <f t="shared" ca="1" si="5"/>
        <v>1227.7777777777778</v>
      </c>
      <c r="X12">
        <f t="shared" ca="1" si="1"/>
        <v>5976.1083333333336</v>
      </c>
    </row>
    <row r="13" spans="2:24" x14ac:dyDescent="0.25">
      <c r="B13" t="str">
        <f>BLE!C28</f>
        <v>TX to RX transition / IFS</v>
      </c>
      <c r="C13">
        <f ca="1">BLE!D28</f>
        <v>150</v>
      </c>
      <c r="D13">
        <f ca="1">BLE!E28</f>
        <v>4.72</v>
      </c>
      <c r="E13">
        <f ca="1">BLE!F28</f>
        <v>708</v>
      </c>
      <c r="H13" s="32">
        <f t="shared" ref="H13" ca="1" si="8">H12</f>
        <v>728</v>
      </c>
      <c r="I13" s="32">
        <f ca="1">$I$14</f>
        <v>7.2389598468468472</v>
      </c>
      <c r="J13" s="32">
        <f t="shared" ca="1" si="3"/>
        <v>1463.878546806807</v>
      </c>
      <c r="K13" s="32">
        <f t="shared" ca="1" si="4"/>
        <v>7442.992894584585</v>
      </c>
      <c r="N13">
        <f>BLE!J28</f>
        <v>8</v>
      </c>
      <c r="O13">
        <f>BLE!K28</f>
        <v>0</v>
      </c>
      <c r="P13">
        <f>BLE!L28</f>
        <v>0</v>
      </c>
      <c r="Q13">
        <f>BLE!M28</f>
        <v>0</v>
      </c>
      <c r="R13">
        <f>BLE!N28</f>
        <v>0</v>
      </c>
      <c r="S13">
        <f>BLE!O28</f>
        <v>0</v>
      </c>
      <c r="U13">
        <f ca="1">U12</f>
        <v>884</v>
      </c>
      <c r="V13">
        <f ca="1">Q10</f>
        <v>11.09</v>
      </c>
      <c r="W13">
        <f t="shared" ca="1" si="5"/>
        <v>2723.2111111111112</v>
      </c>
      <c r="X13">
        <f t="shared" ca="1" si="1"/>
        <v>8699.3194444444453</v>
      </c>
    </row>
    <row r="14" spans="2:24" x14ac:dyDescent="0.25">
      <c r="B14" t="str">
        <f>BLE!C29</f>
        <v>Recieve (RX)</v>
      </c>
      <c r="C14">
        <f ca="1">BLE!D29</f>
        <v>146</v>
      </c>
      <c r="D14">
        <f ca="1">BLE!E29</f>
        <v>7.2118333652968039</v>
      </c>
      <c r="E14">
        <f ca="1">BLE!F29</f>
        <v>1052.9276713333334</v>
      </c>
      <c r="H14" s="32">
        <f ca="1">H12+C10</f>
        <v>876</v>
      </c>
      <c r="I14" s="32">
        <f ca="1">D10</f>
        <v>7.2389598468468472</v>
      </c>
      <c r="J14" s="32">
        <f t="shared" ca="1" si="3"/>
        <v>1761.4802293993996</v>
      </c>
      <c r="K14" s="32">
        <f t="shared" ca="1" si="4"/>
        <v>9204.4731239839839</v>
      </c>
      <c r="N14">
        <f>BLE!J29</f>
        <v>9</v>
      </c>
      <c r="O14">
        <f>BLE!K29</f>
        <v>0</v>
      </c>
      <c r="P14">
        <f>BLE!L29</f>
        <v>0</v>
      </c>
      <c r="Q14">
        <f>BLE!M29</f>
        <v>0</v>
      </c>
      <c r="R14">
        <f>BLE!N29</f>
        <v>0</v>
      </c>
      <c r="S14">
        <f>BLE!O29</f>
        <v>0</v>
      </c>
      <c r="U14">
        <f ca="1">U13+P10</f>
        <v>923</v>
      </c>
      <c r="V14">
        <f ca="1">Q10</f>
        <v>11.09</v>
      </c>
      <c r="W14">
        <f t="shared" ca="1" si="5"/>
        <v>2843.3527777777776</v>
      </c>
      <c r="X14">
        <f t="shared" ca="1" si="1"/>
        <v>11542.672222222223</v>
      </c>
    </row>
    <row r="15" spans="2:24" x14ac:dyDescent="0.25">
      <c r="B15" t="str">
        <f>BLE!C30</f>
        <v>RX to TX transition / ICS</v>
      </c>
      <c r="C15">
        <f ca="1">BLE!D30</f>
        <v>120</v>
      </c>
      <c r="D15">
        <f ca="1">BLE!E30</f>
        <v>5.44</v>
      </c>
      <c r="E15">
        <f ca="1">BLE!F30</f>
        <v>652.80000000000007</v>
      </c>
      <c r="H15" s="32">
        <f t="shared" ref="H15" ca="1" si="9">H14</f>
        <v>876</v>
      </c>
      <c r="I15" s="32">
        <f ca="1">$I$16</f>
        <v>5.54</v>
      </c>
      <c r="J15" s="32">
        <f t="shared" ca="1" si="3"/>
        <v>1348.0666666666666</v>
      </c>
      <c r="K15" s="32">
        <f t="shared" ca="1" si="4"/>
        <v>10552.539790650651</v>
      </c>
      <c r="N15">
        <f>BLE!J30</f>
        <v>10</v>
      </c>
      <c r="O15">
        <f>BLE!K30</f>
        <v>0</v>
      </c>
      <c r="P15">
        <f>BLE!L30</f>
        <v>0</v>
      </c>
      <c r="Q15">
        <f>BLE!M30</f>
        <v>0</v>
      </c>
      <c r="R15">
        <f>BLE!N30</f>
        <v>0</v>
      </c>
      <c r="S15">
        <f>BLE!O30</f>
        <v>0</v>
      </c>
      <c r="U15">
        <f ca="1">U14</f>
        <v>923</v>
      </c>
      <c r="V15">
        <f ca="1">Q11</f>
        <v>5.8</v>
      </c>
      <c r="W15">
        <f t="shared" ca="1" si="5"/>
        <v>1487.0555555555554</v>
      </c>
      <c r="X15">
        <f t="shared" ca="1" si="1"/>
        <v>13029.727777777778</v>
      </c>
    </row>
    <row r="16" spans="2:24" x14ac:dyDescent="0.25">
      <c r="B16" t="str">
        <f>BLE!C31</f>
        <v>Transmit (TX)</v>
      </c>
      <c r="C16">
        <f ca="1">BLE!D31</f>
        <v>168</v>
      </c>
      <c r="D16">
        <f ca="1">BLE!E31</f>
        <v>10.5</v>
      </c>
      <c r="E16">
        <f ca="1">BLE!F31</f>
        <v>1764</v>
      </c>
      <c r="H16" s="32">
        <f ca="1">H14+C11</f>
        <v>997</v>
      </c>
      <c r="I16" s="32">
        <f ca="1">D11</f>
        <v>5.54</v>
      </c>
      <c r="J16" s="32">
        <f t="shared" ca="1" si="3"/>
        <v>1534.2722222222224</v>
      </c>
      <c r="K16" s="32">
        <f t="shared" ca="1" si="4"/>
        <v>12086.812012872873</v>
      </c>
      <c r="N16">
        <f>BLE!J31</f>
        <v>11</v>
      </c>
      <c r="O16">
        <f>BLE!K31</f>
        <v>0</v>
      </c>
      <c r="P16">
        <f>BLE!L31</f>
        <v>0</v>
      </c>
      <c r="Q16">
        <f>BLE!M31</f>
        <v>0</v>
      </c>
      <c r="R16">
        <f>BLE!N31</f>
        <v>0</v>
      </c>
      <c r="S16">
        <f>BLE!O31</f>
        <v>0</v>
      </c>
      <c r="U16">
        <f ca="1">U15+P11</f>
        <v>1228</v>
      </c>
      <c r="V16">
        <f ca="1">Q11</f>
        <v>5.8</v>
      </c>
      <c r="W16">
        <f t="shared" ca="1" si="5"/>
        <v>1978.4444444444443</v>
      </c>
      <c r="X16">
        <f t="shared" ca="1" si="1"/>
        <v>15008.172222222223</v>
      </c>
    </row>
    <row r="17" spans="2:24" x14ac:dyDescent="0.25">
      <c r="B17" t="str">
        <f>BLE!C32</f>
        <v>TX to RX transition / IFS</v>
      </c>
      <c r="C17">
        <f ca="1">BLE!D32</f>
        <v>149</v>
      </c>
      <c r="D17">
        <f ca="1">BLE!E32</f>
        <v>4.68</v>
      </c>
      <c r="E17">
        <f ca="1">BLE!F32</f>
        <v>697.31999999999994</v>
      </c>
      <c r="H17" s="32">
        <f t="shared" ref="H17" ca="1" si="10">H16</f>
        <v>997</v>
      </c>
      <c r="I17" s="32">
        <f ca="1">$I$18</f>
        <v>10.6</v>
      </c>
      <c r="J17" s="32">
        <f t="shared" ca="1" si="3"/>
        <v>2935.6111111111109</v>
      </c>
      <c r="K17" s="32">
        <f t="shared" ca="1" si="4"/>
        <v>15022.423123983985</v>
      </c>
      <c r="N17">
        <f>BLE!J32</f>
        <v>12</v>
      </c>
      <c r="O17">
        <f>BLE!K32</f>
        <v>0</v>
      </c>
      <c r="P17">
        <f>BLE!L32</f>
        <v>0</v>
      </c>
      <c r="Q17">
        <f>BLE!M32</f>
        <v>0</v>
      </c>
      <c r="R17">
        <f>BLE!N32</f>
        <v>0</v>
      </c>
      <c r="S17">
        <f>BLE!O32</f>
        <v>0</v>
      </c>
      <c r="U17">
        <f ca="1">U16</f>
        <v>1228</v>
      </c>
      <c r="V17">
        <v>0</v>
      </c>
      <c r="W17">
        <f t="shared" ca="1" si="5"/>
        <v>0</v>
      </c>
      <c r="X17">
        <f t="shared" ca="1" si="1"/>
        <v>15008.172222222223</v>
      </c>
    </row>
    <row r="18" spans="2:24" x14ac:dyDescent="0.25">
      <c r="B18" t="str">
        <f>BLE!C33</f>
        <v>Recieve (RX)</v>
      </c>
      <c r="C18">
        <f ca="1">BLE!D33</f>
        <v>150</v>
      </c>
      <c r="D18">
        <f ca="1">BLE!E33</f>
        <v>7.4900236103286373</v>
      </c>
      <c r="E18">
        <f ca="1">BLE!F33</f>
        <v>1123.5035415492955</v>
      </c>
      <c r="H18" s="32">
        <f ca="1">H16+C12</f>
        <v>1165</v>
      </c>
      <c r="I18" s="32">
        <f ca="1">D12</f>
        <v>10.6</v>
      </c>
      <c r="J18" s="32">
        <f t="shared" ca="1" si="3"/>
        <v>3430.2777777777778</v>
      </c>
      <c r="K18" s="32">
        <f t="shared" ca="1" si="4"/>
        <v>18452.700901761764</v>
      </c>
      <c r="N18">
        <f>BLE!J33</f>
        <v>13</v>
      </c>
      <c r="O18">
        <f>BLE!K33</f>
        <v>0</v>
      </c>
      <c r="P18">
        <f>BLE!L33</f>
        <v>0</v>
      </c>
      <c r="Q18">
        <f>BLE!M33</f>
        <v>0</v>
      </c>
      <c r="R18">
        <f>BLE!N33</f>
        <v>0</v>
      </c>
      <c r="S18">
        <f>BLE!O33</f>
        <v>0</v>
      </c>
    </row>
    <row r="19" spans="2:24" x14ac:dyDescent="0.25">
      <c r="B19" t="str">
        <f>BLE!C34</f>
        <v>Post-Processing</v>
      </c>
      <c r="C19">
        <f ca="1">BLE!D34</f>
        <v>232</v>
      </c>
      <c r="D19">
        <f ca="1">BLE!E34</f>
        <v>5.1313532041379313</v>
      </c>
      <c r="E19">
        <f ca="1">BLE!F34</f>
        <v>1190.47394336</v>
      </c>
      <c r="H19" s="32">
        <f t="shared" ref="H19" ca="1" si="11">H18</f>
        <v>1165</v>
      </c>
      <c r="I19" s="32">
        <f ca="1">$I$20</f>
        <v>4.72</v>
      </c>
      <c r="J19" s="32">
        <f t="shared" ca="1" si="3"/>
        <v>1527.4444444444443</v>
      </c>
      <c r="K19" s="32">
        <f t="shared" ca="1" si="4"/>
        <v>19980.145346206209</v>
      </c>
      <c r="N19">
        <f>BLE!J34</f>
        <v>14</v>
      </c>
      <c r="O19">
        <f>BLE!K34</f>
        <v>0</v>
      </c>
      <c r="P19">
        <f>BLE!L34</f>
        <v>0</v>
      </c>
      <c r="Q19">
        <f>BLE!M34</f>
        <v>0</v>
      </c>
      <c r="R19">
        <f>BLE!N34</f>
        <v>0</v>
      </c>
      <c r="S19">
        <f>BLE!O34</f>
        <v>0</v>
      </c>
    </row>
    <row r="20" spans="2:24" x14ac:dyDescent="0.25">
      <c r="B20">
        <f>BLE!C35</f>
        <v>0</v>
      </c>
      <c r="C20">
        <f>BLE!D35</f>
        <v>0</v>
      </c>
      <c r="D20">
        <f>BLE!E35</f>
        <v>0</v>
      </c>
      <c r="E20">
        <f>BLE!F35</f>
        <v>0</v>
      </c>
      <c r="H20" s="32">
        <f ca="1">H18+C13</f>
        <v>1315</v>
      </c>
      <c r="I20" s="32">
        <f ca="1">D13</f>
        <v>4.72</v>
      </c>
      <c r="J20" s="32">
        <f t="shared" ca="1" si="3"/>
        <v>1724.1111111111111</v>
      </c>
      <c r="K20" s="32">
        <f t="shared" ca="1" si="4"/>
        <v>21704.256457317319</v>
      </c>
      <c r="N20">
        <f>BLE!J35</f>
        <v>15</v>
      </c>
      <c r="O20">
        <f>BLE!K35</f>
        <v>0</v>
      </c>
      <c r="P20">
        <f>BLE!L35</f>
        <v>0</v>
      </c>
      <c r="Q20">
        <f>BLE!M35</f>
        <v>0</v>
      </c>
      <c r="R20">
        <f>BLE!N35</f>
        <v>0</v>
      </c>
      <c r="S20">
        <f>BLE!O35</f>
        <v>0</v>
      </c>
    </row>
    <row r="21" spans="2:24" x14ac:dyDescent="0.25">
      <c r="B21">
        <f>BLE!C36</f>
        <v>0</v>
      </c>
      <c r="C21">
        <f>BLE!D36</f>
        <v>0</v>
      </c>
      <c r="D21">
        <f>BLE!E36</f>
        <v>0</v>
      </c>
      <c r="E21">
        <f>BLE!F36</f>
        <v>0</v>
      </c>
      <c r="H21" s="32">
        <f t="shared" ref="H21" ca="1" si="12">H20</f>
        <v>1315</v>
      </c>
      <c r="I21" s="32">
        <f ca="1">$I$22</f>
        <v>7.2118333652968039</v>
      </c>
      <c r="J21" s="32">
        <f t="shared" ca="1" si="3"/>
        <v>2634.3224653792495</v>
      </c>
      <c r="K21" s="32">
        <f t="shared" ca="1" si="4"/>
        <v>24338.578922696568</v>
      </c>
      <c r="N21">
        <f>BLE!J36</f>
        <v>16</v>
      </c>
      <c r="O21">
        <f>BLE!K36</f>
        <v>0</v>
      </c>
      <c r="P21">
        <f>BLE!L36</f>
        <v>0</v>
      </c>
      <c r="Q21">
        <f>BLE!M36</f>
        <v>0</v>
      </c>
      <c r="R21">
        <f>BLE!N36</f>
        <v>0</v>
      </c>
      <c r="S21">
        <f>BLE!O36</f>
        <v>0</v>
      </c>
    </row>
    <row r="22" spans="2:24" x14ac:dyDescent="0.25">
      <c r="B22" t="str">
        <f>BLE!C37</f>
        <v>Total time of advertising event [us]</v>
      </c>
      <c r="C22">
        <f ca="1">BLE!D37</f>
        <v>2280</v>
      </c>
      <c r="D22">
        <f>BLE!E37</f>
        <v>0</v>
      </c>
      <c r="E22">
        <f>BLE!F37</f>
        <v>0</v>
      </c>
      <c r="H22" s="32">
        <f ca="1">H20+C14</f>
        <v>1461</v>
      </c>
      <c r="I22" s="32">
        <f ca="1">D14</f>
        <v>7.2118333652968039</v>
      </c>
      <c r="J22" s="32">
        <f t="shared" ca="1" si="3"/>
        <v>2926.8023740829531</v>
      </c>
      <c r="K22" s="32">
        <f t="shared" ca="1" si="4"/>
        <v>27265.38129677952</v>
      </c>
    </row>
    <row r="23" spans="2:24" x14ac:dyDescent="0.25">
      <c r="B23" t="str">
        <f>BLE!C38</f>
        <v>Total time * current [us*mA]</v>
      </c>
      <c r="C23">
        <f>BLE!D38</f>
        <v>0</v>
      </c>
      <c r="D23">
        <f>BLE!E38</f>
        <v>0</v>
      </c>
      <c r="E23">
        <f ca="1">BLE!F38</f>
        <v>15097.322865575961</v>
      </c>
      <c r="H23" s="32">
        <f t="shared" ref="H23" ca="1" si="13">H22</f>
        <v>1461</v>
      </c>
      <c r="I23" s="32">
        <f ca="1">$I$24</f>
        <v>5.44</v>
      </c>
      <c r="J23" s="32">
        <f t="shared" ca="1" si="3"/>
        <v>2207.7333333333336</v>
      </c>
      <c r="K23" s="32">
        <f t="shared" ca="1" si="4"/>
        <v>29473.114630112854</v>
      </c>
    </row>
    <row r="24" spans="2:24" x14ac:dyDescent="0.25">
      <c r="B24" t="str">
        <f>BLE!C39</f>
        <v>Average Current draw during advertising event [uA]</v>
      </c>
      <c r="C24">
        <f>BLE!D39</f>
        <v>0</v>
      </c>
      <c r="D24">
        <f>BLE!E39</f>
        <v>0</v>
      </c>
      <c r="E24">
        <f ca="1">BLE!F39</f>
        <v>6621.6328357789307</v>
      </c>
      <c r="H24" s="32">
        <f ca="1">H22+C15</f>
        <v>1581</v>
      </c>
      <c r="I24" s="32">
        <f ca="1">D15</f>
        <v>5.44</v>
      </c>
      <c r="J24" s="32">
        <f t="shared" ca="1" si="3"/>
        <v>2389.0666666666671</v>
      </c>
      <c r="K24" s="32">
        <f t="shared" ca="1" si="4"/>
        <v>31862.181296779519</v>
      </c>
    </row>
    <row r="25" spans="2:24" x14ac:dyDescent="0.25">
      <c r="B25">
        <f>BLE!C40</f>
        <v>0</v>
      </c>
      <c r="C25">
        <f>BLE!D40</f>
        <v>0</v>
      </c>
      <c r="D25">
        <f>BLE!E40</f>
        <v>0</v>
      </c>
      <c r="E25">
        <f>BLE!F40</f>
        <v>0</v>
      </c>
      <c r="H25" s="32">
        <f t="shared" ref="H25" ca="1" si="14">H24</f>
        <v>1581</v>
      </c>
      <c r="I25" s="32">
        <f ca="1">$I$26</f>
        <v>10.5</v>
      </c>
      <c r="J25" s="32">
        <f t="shared" ca="1" si="3"/>
        <v>4611.25</v>
      </c>
      <c r="K25" s="32">
        <f t="shared" ca="1" si="4"/>
        <v>36473.431296779519</v>
      </c>
    </row>
    <row r="26" spans="2:24" x14ac:dyDescent="0.25">
      <c r="B26" t="str">
        <f>BLE!C41</f>
        <v>Avg. current draw when advertising:</v>
      </c>
      <c r="C26">
        <f ca="1">BLE!D41</f>
        <v>7.031527621858654</v>
      </c>
      <c r="D26" t="str">
        <f>BLE!E41</f>
        <v>uA</v>
      </c>
      <c r="E26">
        <f>BLE!F41</f>
        <v>0</v>
      </c>
      <c r="H26" s="32">
        <f ca="1">H24+C16</f>
        <v>1749</v>
      </c>
      <c r="I26" s="32">
        <f ca="1">D16</f>
        <v>10.5</v>
      </c>
      <c r="J26" s="32">
        <f t="shared" ca="1" si="3"/>
        <v>5101.25</v>
      </c>
      <c r="K26" s="32">
        <f t="shared" ca="1" si="4"/>
        <v>41574.681296779519</v>
      </c>
    </row>
    <row r="27" spans="2:24" x14ac:dyDescent="0.25">
      <c r="B27" t="str">
        <f>BLE!C42</f>
        <v>Expected battery life:</v>
      </c>
      <c r="C27">
        <f ca="1">BLE!D42</f>
        <v>31998.736561959977</v>
      </c>
      <c r="D27" t="str">
        <f>BLE!E42</f>
        <v>Hours</v>
      </c>
      <c r="E27">
        <f>BLE!F42</f>
        <v>0</v>
      </c>
      <c r="H27" s="32">
        <f t="shared" ref="H27" ca="1" si="15">H26</f>
        <v>1749</v>
      </c>
      <c r="I27" s="32">
        <f ca="1">$I$28</f>
        <v>4.68</v>
      </c>
      <c r="J27" s="32">
        <f t="shared" ca="1" si="3"/>
        <v>2273.6999999999998</v>
      </c>
      <c r="K27" s="32">
        <f t="shared" ca="1" si="4"/>
        <v>43848.381296779517</v>
      </c>
    </row>
    <row r="28" spans="2:24" x14ac:dyDescent="0.25">
      <c r="B28" t="str">
        <f>BLE!C43</f>
        <v>Expected battery life:</v>
      </c>
      <c r="C28">
        <f ca="1">BLE!D43</f>
        <v>1333.2806900816656</v>
      </c>
      <c r="D28" t="str">
        <f>BLE!E43</f>
        <v>Days</v>
      </c>
      <c r="E28">
        <f>BLE!F43</f>
        <v>0</v>
      </c>
      <c r="H28" s="32">
        <f ca="1">H26+C17</f>
        <v>1898</v>
      </c>
      <c r="I28" s="32">
        <f ca="1">D17</f>
        <v>4.68</v>
      </c>
      <c r="J28" s="32">
        <f t="shared" ca="1" si="3"/>
        <v>2467.4</v>
      </c>
      <c r="K28" s="32">
        <f t="shared" ca="1" si="4"/>
        <v>46315.781296779518</v>
      </c>
    </row>
    <row r="29" spans="2:24" x14ac:dyDescent="0.25">
      <c r="H29" s="32">
        <f t="shared" ref="H29" ca="1" si="16">H28</f>
        <v>1898</v>
      </c>
      <c r="I29" s="32">
        <f ca="1">$I$30</f>
        <v>7.4900236103286373</v>
      </c>
      <c r="J29" s="32">
        <f t="shared" ca="1" si="3"/>
        <v>3948.9068923343762</v>
      </c>
      <c r="K29" s="32">
        <f t="shared" ca="1" si="4"/>
        <v>50264.688189113891</v>
      </c>
    </row>
    <row r="30" spans="2:24" x14ac:dyDescent="0.25">
      <c r="H30" s="32">
        <f ca="1">H28+C18</f>
        <v>2048</v>
      </c>
      <c r="I30" s="32">
        <f ca="1">D18</f>
        <v>7.4900236103286373</v>
      </c>
      <c r="J30" s="32">
        <f t="shared" ca="1" si="3"/>
        <v>4260.9912094314031</v>
      </c>
      <c r="K30" s="32">
        <f t="shared" ca="1" si="4"/>
        <v>54525.679398545297</v>
      </c>
    </row>
    <row r="31" spans="2:24" x14ac:dyDescent="0.25">
      <c r="H31" s="32">
        <f t="shared" ref="H31" ca="1" si="17">H30</f>
        <v>2048</v>
      </c>
      <c r="I31" s="32">
        <f ca="1">$I$32</f>
        <v>5.1313532041379313</v>
      </c>
      <c r="J31" s="32">
        <f t="shared" ca="1" si="3"/>
        <v>2919.1698227984675</v>
      </c>
      <c r="K31" s="32">
        <f t="shared" ca="1" si="4"/>
        <v>57444.849221343764</v>
      </c>
    </row>
    <row r="32" spans="2:24" x14ac:dyDescent="0.25">
      <c r="H32" s="32">
        <f ca="1">H30+C19</f>
        <v>2280</v>
      </c>
      <c r="I32" s="32">
        <f ca="1">D19</f>
        <v>5.1313532041379313</v>
      </c>
      <c r="J32" s="32">
        <f t="shared" ca="1" si="3"/>
        <v>3249.8570292873569</v>
      </c>
      <c r="K32" s="32">
        <f t="shared" ca="1" si="4"/>
        <v>60694.706250631119</v>
      </c>
    </row>
    <row r="33" spans="2:11" x14ac:dyDescent="0.25">
      <c r="H33" s="32">
        <f t="shared" ref="H33" ca="1" si="18">H32</f>
        <v>2280</v>
      </c>
      <c r="I33" s="32">
        <v>0</v>
      </c>
      <c r="J33" s="32">
        <f t="shared" ca="1" si="3"/>
        <v>0</v>
      </c>
      <c r="K33" s="32">
        <f ca="1">K32+J33</f>
        <v>60694.706250631119</v>
      </c>
    </row>
    <row r="37" spans="2:11" ht="45" x14ac:dyDescent="0.25">
      <c r="B37" t="str">
        <f>BLE!S20</f>
        <v>State</v>
      </c>
      <c r="C37" t="str">
        <f>BLE!T20</f>
        <v>Time 
[µs]</v>
      </c>
      <c r="D37" t="str">
        <f>BLE!U20</f>
        <v>Current [mA]</v>
      </c>
      <c r="E37" t="str">
        <f>BLE!V20</f>
        <v>Time * Current</v>
      </c>
      <c r="H37" s="32"/>
      <c r="I37" s="94" t="s">
        <v>114</v>
      </c>
      <c r="J37" s="32"/>
      <c r="K37" s="94" t="s">
        <v>115</v>
      </c>
    </row>
    <row r="38" spans="2:11" ht="60" x14ac:dyDescent="0.25">
      <c r="B38" t="str">
        <f>BLE!S21</f>
        <v>Wake Up &amp; Pre-processing</v>
      </c>
      <c r="C38">
        <f ca="1">BLE!T21</f>
        <v>415</v>
      </c>
      <c r="D38">
        <f ca="1">BLE!U21</f>
        <v>4.2719983999999993</v>
      </c>
      <c r="E38">
        <f ca="1">BLE!V21</f>
        <v>1772.8793359999997</v>
      </c>
      <c r="H38" s="94" t="s">
        <v>116</v>
      </c>
      <c r="I38" s="94" t="s">
        <v>111</v>
      </c>
      <c r="J38" s="98" t="s">
        <v>112</v>
      </c>
      <c r="K38" s="94" t="s">
        <v>113</v>
      </c>
    </row>
    <row r="39" spans="2:11" x14ac:dyDescent="0.25">
      <c r="B39" t="str">
        <f>BLE!S22</f>
        <v>Recieve (RX)</v>
      </c>
      <c r="C39">
        <f ca="1">BLE!T22</f>
        <v>19916</v>
      </c>
      <c r="D39">
        <f ca="1">BLE!U22</f>
        <v>7.5901892000000002</v>
      </c>
      <c r="E39">
        <f ca="1">BLE!V22</f>
        <v>151166.20810720001</v>
      </c>
      <c r="H39">
        <v>0</v>
      </c>
      <c r="I39">
        <f ca="1">'Graph values'!D38</f>
        <v>4.2719983999999993</v>
      </c>
      <c r="J39">
        <f ca="1">H39*I39*((10^3)/3600)</f>
        <v>0</v>
      </c>
      <c r="K39">
        <v>0</v>
      </c>
    </row>
    <row r="40" spans="2:11" x14ac:dyDescent="0.25">
      <c r="B40" t="str">
        <f>BLE!S23</f>
        <v>Post-Processing</v>
      </c>
      <c r="C40">
        <f ca="1">BLE!T23</f>
        <v>224</v>
      </c>
      <c r="D40">
        <f ca="1">BLE!U23</f>
        <v>5.7173834000000001</v>
      </c>
      <c r="E40">
        <f ca="1">BLE!V23</f>
        <v>1280.6938815999999</v>
      </c>
      <c r="H40">
        <f ca="1">C38</f>
        <v>415</v>
      </c>
      <c r="I40">
        <f ca="1">D38</f>
        <v>4.2719983999999993</v>
      </c>
      <c r="J40">
        <f t="shared" ref="J40:J45" ca="1" si="19">H40*I40*((10^3)/3600)</f>
        <v>492.46648222222217</v>
      </c>
      <c r="K40">
        <f ca="1">K39+J40</f>
        <v>492.46648222222217</v>
      </c>
    </row>
    <row r="41" spans="2:11" x14ac:dyDescent="0.25">
      <c r="B41" t="str">
        <f>BLE!S24</f>
        <v>Standby</v>
      </c>
      <c r="C41">
        <f ca="1">BLE!T24</f>
        <v>79442</v>
      </c>
      <c r="D41">
        <f ca="1">BLE!U24</f>
        <v>6.7540000000000005E-3</v>
      </c>
      <c r="E41">
        <f ca="1">BLE!V24</f>
        <v>536.55126800000005</v>
      </c>
      <c r="H41">
        <f ca="1">C38</f>
        <v>415</v>
      </c>
      <c r="I41">
        <f ca="1">D39</f>
        <v>7.5901892000000002</v>
      </c>
      <c r="J41">
        <f t="shared" ca="1" si="19"/>
        <v>874.98014388888896</v>
      </c>
      <c r="K41">
        <f ca="1">K40+J41</f>
        <v>1367.4466261111111</v>
      </c>
    </row>
    <row r="42" spans="2:11" x14ac:dyDescent="0.25">
      <c r="H42">
        <f ca="1">H41+C39</f>
        <v>20331</v>
      </c>
      <c r="I42">
        <f ca="1">D39</f>
        <v>7.5901892000000002</v>
      </c>
      <c r="J42">
        <f t="shared" ca="1" si="19"/>
        <v>42865.593507000005</v>
      </c>
      <c r="K42">
        <f ca="1">K41+J42</f>
        <v>44233.040133111113</v>
      </c>
    </row>
    <row r="43" spans="2:11" x14ac:dyDescent="0.25">
      <c r="B43" t="str">
        <f>BLE!S37</f>
        <v>Total time of scanning event [us]</v>
      </c>
      <c r="C43" s="143">
        <f ca="1">BLE!T37</f>
        <v>20555</v>
      </c>
      <c r="H43">
        <f ca="1">H42</f>
        <v>20331</v>
      </c>
      <c r="I43">
        <f ca="1">D40</f>
        <v>5.7173834000000001</v>
      </c>
      <c r="J43">
        <f t="shared" ca="1" si="19"/>
        <v>32288.922751500002</v>
      </c>
      <c r="K43">
        <f t="shared" ref="K43:K45" ca="1" si="20">K42+J43</f>
        <v>76521.962884611115</v>
      </c>
    </row>
    <row r="44" spans="2:11" x14ac:dyDescent="0.25">
      <c r="B44" t="str">
        <f>BLE!S38</f>
        <v>Total time * current [us*mA]</v>
      </c>
      <c r="C44" s="143">
        <f ca="1">BLE!V38</f>
        <v>154219.78132480002</v>
      </c>
      <c r="H44">
        <f ca="1">H43+C40</f>
        <v>20555</v>
      </c>
      <c r="I44">
        <f ca="1">D40</f>
        <v>5.7173834000000001</v>
      </c>
      <c r="J44">
        <f t="shared" ca="1" si="19"/>
        <v>32644.671051944446</v>
      </c>
      <c r="K44">
        <f ca="1">K43+J44</f>
        <v>109166.63393655556</v>
      </c>
    </row>
    <row r="45" spans="2:11" x14ac:dyDescent="0.25">
      <c r="B45" t="str">
        <f>BLE!S39</f>
        <v>Average Current draw during scanning event [uA]</v>
      </c>
      <c r="C45" s="143">
        <f ca="1">BLE!V39</f>
        <v>7502.7867343614698</v>
      </c>
      <c r="H45">
        <f ca="1">H44</f>
        <v>20555</v>
      </c>
      <c r="I45">
        <f ca="1">D41</f>
        <v>6.7540000000000005E-3</v>
      </c>
      <c r="J45">
        <f t="shared" ca="1" si="19"/>
        <v>38.56346388888889</v>
      </c>
      <c r="K45">
        <f t="shared" ca="1" si="20"/>
        <v>109205.19740044445</v>
      </c>
    </row>
    <row r="47" spans="2:11" x14ac:dyDescent="0.25">
      <c r="B47" t="str">
        <f>BLE!S41</f>
        <v>Avg. current draw when scanninging:</v>
      </c>
      <c r="C47">
        <f ca="1">BLE!T41</f>
        <v>1542.2031787606802</v>
      </c>
    </row>
    <row r="48" spans="2:11" x14ac:dyDescent="0.25">
      <c r="B48" t="str">
        <f>BLE!S42</f>
        <v>Expected battery life:</v>
      </c>
      <c r="C48">
        <f ca="1">BLE!T42</f>
        <v>145.89517328113067</v>
      </c>
    </row>
    <row r="49" spans="2:3" x14ac:dyDescent="0.25">
      <c r="B49" t="str">
        <f>BLE!S43</f>
        <v>Expected battery life:</v>
      </c>
      <c r="C49">
        <f ca="1">BLE!T43</f>
        <v>6.0789655533804448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5486E-5309-44A9-95D8-ECFC0D2712F2}">
  <dimension ref="A1:AJ163"/>
  <sheetViews>
    <sheetView showGridLines="0" topLeftCell="Q7" zoomScale="88" workbookViewId="0">
      <selection activeCell="Y16" sqref="Y16"/>
    </sheetView>
  </sheetViews>
  <sheetFormatPr defaultRowHeight="15" x14ac:dyDescent="0.25"/>
  <cols>
    <col min="1" max="1" width="9.28515625" customWidth="1"/>
    <col min="2" max="2" width="35.42578125" customWidth="1"/>
    <col min="3" max="3" width="10.42578125" customWidth="1"/>
    <col min="4" max="4" width="9.5703125" bestFit="1" customWidth="1"/>
    <col min="5" max="5" width="11.5703125" bestFit="1" customWidth="1"/>
    <col min="6" max="6" width="2" customWidth="1"/>
    <col min="7" max="7" width="9.42578125" customWidth="1"/>
    <col min="8" max="8" width="10.28515625" bestFit="1" customWidth="1"/>
    <col min="9" max="9" width="12.140625" bestFit="1" customWidth="1"/>
    <col min="10" max="10" width="2.140625" customWidth="1"/>
    <col min="11" max="11" width="10.7109375" customWidth="1"/>
    <col min="12" max="12" width="10.28515625" bestFit="1" customWidth="1"/>
    <col min="13" max="13" width="9.140625" customWidth="1"/>
    <col min="14" max="14" width="2.140625" customWidth="1"/>
    <col min="15" max="15" width="8.85546875" customWidth="1"/>
    <col min="16" max="16" width="13.5703125" customWidth="1"/>
    <col min="17" max="17" width="15" customWidth="1"/>
    <col min="18" max="18" width="3" customWidth="1"/>
    <col min="19" max="19" width="10.42578125" customWidth="1"/>
    <col min="20" max="20" width="12" customWidth="1"/>
    <col min="21" max="21" width="12.140625" customWidth="1"/>
    <col min="22" max="22" width="3" customWidth="1"/>
    <col min="23" max="24" width="11.5703125" bestFit="1" customWidth="1"/>
    <col min="25" max="25" width="12.140625" bestFit="1" customWidth="1"/>
    <col min="27" max="27" width="20.5703125" customWidth="1"/>
    <col min="28" max="31" width="8.85546875" bestFit="1" customWidth="1"/>
    <col min="32" max="32" width="10.28515625" bestFit="1" customWidth="1"/>
    <col min="33" max="33" width="8.85546875" bestFit="1" customWidth="1"/>
  </cols>
  <sheetData>
    <row r="1" spans="1:36" ht="15" customHeight="1" x14ac:dyDescent="0.25">
      <c r="A1" s="187" t="s">
        <v>74</v>
      </c>
      <c r="B1" s="188"/>
      <c r="C1" s="194" t="s">
        <v>103</v>
      </c>
      <c r="D1" s="195"/>
      <c r="E1" s="196"/>
      <c r="F1" s="190"/>
      <c r="G1" s="194" t="s">
        <v>104</v>
      </c>
      <c r="H1" s="195"/>
      <c r="I1" s="196"/>
      <c r="J1" s="190"/>
      <c r="K1" s="194" t="s">
        <v>102</v>
      </c>
      <c r="L1" s="195"/>
      <c r="M1" s="196"/>
      <c r="O1" s="176" t="s">
        <v>105</v>
      </c>
      <c r="P1" s="176"/>
      <c r="Q1" s="176"/>
      <c r="S1" s="176" t="s">
        <v>106</v>
      </c>
      <c r="T1" s="176"/>
      <c r="U1" s="176"/>
      <c r="W1" s="187" t="s">
        <v>77</v>
      </c>
      <c r="X1" s="189"/>
      <c r="Y1" s="188"/>
    </row>
    <row r="2" spans="1:36" x14ac:dyDescent="0.25">
      <c r="A2" s="187"/>
      <c r="B2" s="188"/>
      <c r="C2" s="197"/>
      <c r="D2" s="198"/>
      <c r="E2" s="199"/>
      <c r="F2" s="191"/>
      <c r="G2" s="197"/>
      <c r="H2" s="198"/>
      <c r="I2" s="199"/>
      <c r="J2" s="191"/>
      <c r="K2" s="197"/>
      <c r="L2" s="198"/>
      <c r="M2" s="199"/>
      <c r="O2" s="176"/>
      <c r="P2" s="176"/>
      <c r="Q2" s="176"/>
      <c r="S2" s="176"/>
      <c r="T2" s="176"/>
      <c r="U2" s="176"/>
      <c r="W2" s="187">
        <f>BLE!D6</f>
        <v>2</v>
      </c>
      <c r="X2" s="189"/>
      <c r="Y2" s="188"/>
    </row>
    <row r="3" spans="1:36" ht="45" x14ac:dyDescent="0.25">
      <c r="A3" s="5"/>
      <c r="B3" s="5" t="s">
        <v>19</v>
      </c>
      <c r="C3" s="77" t="s">
        <v>53</v>
      </c>
      <c r="D3" s="77" t="s">
        <v>54</v>
      </c>
      <c r="E3" s="77" t="s">
        <v>55</v>
      </c>
      <c r="F3" s="191"/>
      <c r="G3" s="77" t="s">
        <v>53</v>
      </c>
      <c r="H3" s="77" t="s">
        <v>54</v>
      </c>
      <c r="I3" s="77" t="s">
        <v>55</v>
      </c>
      <c r="J3" s="191"/>
      <c r="K3" s="77" t="s">
        <v>53</v>
      </c>
      <c r="L3" s="77" t="s">
        <v>54</v>
      </c>
      <c r="M3" s="77" t="s">
        <v>55</v>
      </c>
      <c r="O3" s="77" t="s">
        <v>53</v>
      </c>
      <c r="P3" s="77" t="s">
        <v>54</v>
      </c>
      <c r="Q3" s="77" t="s">
        <v>55</v>
      </c>
      <c r="S3" s="77" t="s">
        <v>53</v>
      </c>
      <c r="T3" s="77" t="s">
        <v>54</v>
      </c>
      <c r="U3" s="77" t="s">
        <v>55</v>
      </c>
      <c r="W3" s="77" t="s">
        <v>53</v>
      </c>
      <c r="X3" s="77" t="s">
        <v>54</v>
      </c>
      <c r="Y3" s="77" t="s">
        <v>55</v>
      </c>
    </row>
    <row r="4" spans="1:36" x14ac:dyDescent="0.25">
      <c r="A4" s="5">
        <v>1</v>
      </c>
      <c r="B4" s="5" t="s">
        <v>23</v>
      </c>
      <c r="C4" s="78"/>
      <c r="D4" s="78"/>
      <c r="E4" s="77">
        <f>C4*D4</f>
        <v>0</v>
      </c>
      <c r="F4" s="191"/>
      <c r="G4" s="78"/>
      <c r="H4" s="78"/>
      <c r="I4" s="77">
        <f>G4*H4</f>
        <v>0</v>
      </c>
      <c r="J4" s="191"/>
      <c r="K4" s="78"/>
      <c r="L4" s="78"/>
      <c r="M4" s="77">
        <f>K4*L4</f>
        <v>0</v>
      </c>
      <c r="O4" s="78"/>
      <c r="P4" s="78"/>
      <c r="Q4" s="77">
        <f t="shared" ref="Q4:Q17" si="0">O4*P4</f>
        <v>0</v>
      </c>
      <c r="S4" s="78"/>
      <c r="T4" s="78"/>
      <c r="U4" s="77">
        <f t="shared" ref="U4:U17" si="1">S4*T4</f>
        <v>0</v>
      </c>
      <c r="W4" s="85">
        <f t="shared" ref="W4:W17" si="2">W60</f>
        <v>286</v>
      </c>
      <c r="X4" s="156">
        <f>L31</f>
        <v>8.1142850000000006</v>
      </c>
      <c r="Y4" s="77">
        <f>W4*X4</f>
        <v>2320.6855100000002</v>
      </c>
      <c r="AA4" t="s">
        <v>75</v>
      </c>
      <c r="AB4">
        <v>120</v>
      </c>
    </row>
    <row r="5" spans="1:36" x14ac:dyDescent="0.25">
      <c r="A5" s="5">
        <v>2</v>
      </c>
      <c r="B5" s="5" t="s">
        <v>24</v>
      </c>
      <c r="C5" s="78"/>
      <c r="D5" s="78"/>
      <c r="E5" s="77">
        <f t="shared" ref="E5:E17" si="3">C5*D5</f>
        <v>0</v>
      </c>
      <c r="F5" s="191"/>
      <c r="G5" s="78"/>
      <c r="H5" s="78"/>
      <c r="I5" s="77">
        <f t="shared" ref="I5:I17" si="4">G5*H5</f>
        <v>0</v>
      </c>
      <c r="J5" s="191"/>
      <c r="K5" s="78"/>
      <c r="L5" s="78"/>
      <c r="M5" s="77">
        <f t="shared" ref="M5:M17" si="5">K5*L5</f>
        <v>0</v>
      </c>
      <c r="O5" s="78"/>
      <c r="P5" s="78"/>
      <c r="Q5" s="77">
        <f t="shared" si="0"/>
        <v>0</v>
      </c>
      <c r="S5" s="78"/>
      <c r="T5" s="78"/>
      <c r="U5" s="77">
        <f t="shared" si="1"/>
        <v>0</v>
      </c>
      <c r="W5" s="85">
        <f t="shared" si="2"/>
        <v>112</v>
      </c>
      <c r="X5" s="91">
        <f>VLOOKUP(W2,AA16:AJ26,2,FALSE)</f>
        <v>10.74010560522095</v>
      </c>
      <c r="Y5" s="77">
        <f t="shared" ref="Y5:Y17" si="6">W5*X5</f>
        <v>1202.8918277847465</v>
      </c>
    </row>
    <row r="6" spans="1:36" s="92" customFormat="1" x14ac:dyDescent="0.25">
      <c r="A6" s="90">
        <v>3</v>
      </c>
      <c r="B6" s="90" t="s">
        <v>25</v>
      </c>
      <c r="C6" s="91"/>
      <c r="D6" s="91"/>
      <c r="E6" s="91">
        <f t="shared" si="3"/>
        <v>0</v>
      </c>
      <c r="F6" s="191"/>
      <c r="G6" s="91"/>
      <c r="H6" s="91"/>
      <c r="I6" s="91">
        <f t="shared" si="4"/>
        <v>0</v>
      </c>
      <c r="J6" s="191"/>
      <c r="K6" s="91"/>
      <c r="L6" s="91"/>
      <c r="M6" s="91">
        <f t="shared" si="5"/>
        <v>0</v>
      </c>
      <c r="O6" s="91"/>
      <c r="P6" s="91"/>
      <c r="Q6" s="91">
        <f t="shared" si="0"/>
        <v>0</v>
      </c>
      <c r="S6" s="91"/>
      <c r="T6" s="91"/>
      <c r="U6" s="91">
        <f t="shared" si="1"/>
        <v>0</v>
      </c>
      <c r="W6" s="91">
        <f t="shared" si="2"/>
        <v>168</v>
      </c>
      <c r="X6" s="91">
        <f>VLOOKUP(W2,AA16:AJ26,3,FALSE)</f>
        <v>20.989185866556216</v>
      </c>
      <c r="Y6" s="91">
        <f t="shared" si="6"/>
        <v>3526.1832255814443</v>
      </c>
      <c r="AA6" s="92" t="s">
        <v>85</v>
      </c>
      <c r="AB6" s="92">
        <f>Y22</f>
        <v>9.5829999999999995E-3</v>
      </c>
      <c r="AC6" s="92" t="s">
        <v>88</v>
      </c>
    </row>
    <row r="7" spans="1:36" s="86" customFormat="1" x14ac:dyDescent="0.25">
      <c r="A7" s="84">
        <v>4</v>
      </c>
      <c r="B7" s="84" t="s">
        <v>26</v>
      </c>
      <c r="C7" s="85"/>
      <c r="D7" s="85"/>
      <c r="E7" s="85">
        <f t="shared" si="3"/>
        <v>0</v>
      </c>
      <c r="F7" s="191"/>
      <c r="G7" s="85"/>
      <c r="H7" s="85"/>
      <c r="I7" s="85">
        <f t="shared" si="4"/>
        <v>0</v>
      </c>
      <c r="J7" s="191"/>
      <c r="K7" s="85"/>
      <c r="L7" s="85"/>
      <c r="M7" s="85">
        <f t="shared" si="5"/>
        <v>0</v>
      </c>
      <c r="O7" s="85"/>
      <c r="P7" s="85"/>
      <c r="Q7" s="85">
        <f t="shared" si="0"/>
        <v>0</v>
      </c>
      <c r="S7" s="85"/>
      <c r="T7" s="85"/>
      <c r="U7" s="85">
        <f t="shared" si="1"/>
        <v>0</v>
      </c>
      <c r="W7" s="85">
        <f t="shared" si="2"/>
        <v>144</v>
      </c>
      <c r="X7" s="91">
        <f>VLOOKUP(W2,AA16:AJ26,4,FALSE)</f>
        <v>7.5039827862252055</v>
      </c>
      <c r="Y7" s="85">
        <f t="shared" si="6"/>
        <v>1080.5735212164295</v>
      </c>
    </row>
    <row r="8" spans="1:36" x14ac:dyDescent="0.25">
      <c r="A8" s="5">
        <v>5</v>
      </c>
      <c r="B8" s="5" t="s">
        <v>27</v>
      </c>
      <c r="C8" s="78"/>
      <c r="D8" s="78"/>
      <c r="E8" s="77">
        <f t="shared" si="3"/>
        <v>0</v>
      </c>
      <c r="F8" s="191"/>
      <c r="G8" s="78"/>
      <c r="H8" s="78"/>
      <c r="I8" s="77">
        <f t="shared" si="4"/>
        <v>0</v>
      </c>
      <c r="J8" s="191"/>
      <c r="K8" s="78"/>
      <c r="L8" s="78"/>
      <c r="M8" s="77">
        <f t="shared" si="5"/>
        <v>0</v>
      </c>
      <c r="O8" s="78"/>
      <c r="P8" s="78"/>
      <c r="Q8" s="77">
        <f t="shared" si="0"/>
        <v>0</v>
      </c>
      <c r="S8" s="78"/>
      <c r="T8" s="78"/>
      <c r="U8" s="77">
        <f t="shared" si="1"/>
        <v>0</v>
      </c>
      <c r="W8" s="85">
        <f t="shared" si="2"/>
        <v>163</v>
      </c>
      <c r="X8" s="157">
        <f>L35</f>
        <v>12.127910999999999</v>
      </c>
      <c r="Y8" s="77">
        <f t="shared" si="6"/>
        <v>1976.8494929999999</v>
      </c>
    </row>
    <row r="9" spans="1:36" s="86" customFormat="1" x14ac:dyDescent="0.25">
      <c r="A9" s="84">
        <v>6</v>
      </c>
      <c r="B9" s="84" t="s">
        <v>28</v>
      </c>
      <c r="C9" s="85"/>
      <c r="D9" s="85"/>
      <c r="E9" s="85">
        <f t="shared" si="3"/>
        <v>0</v>
      </c>
      <c r="F9" s="191"/>
      <c r="G9" s="85"/>
      <c r="H9" s="85"/>
      <c r="I9" s="85">
        <f t="shared" si="4"/>
        <v>0</v>
      </c>
      <c r="J9" s="191"/>
      <c r="K9" s="85"/>
      <c r="L9" s="85"/>
      <c r="M9" s="85">
        <f t="shared" si="5"/>
        <v>0</v>
      </c>
      <c r="O9" s="85"/>
      <c r="P9" s="85"/>
      <c r="Q9" s="85">
        <f t="shared" si="0"/>
        <v>0</v>
      </c>
      <c r="S9" s="85"/>
      <c r="T9" s="85"/>
      <c r="U9" s="85">
        <f t="shared" si="1"/>
        <v>0</v>
      </c>
      <c r="W9" s="85">
        <f t="shared" si="2"/>
        <v>119</v>
      </c>
      <c r="X9" s="91">
        <f>VLOOKUP(W2,AA16:AJ26,5,FALSE)</f>
        <v>10.89064870158737</v>
      </c>
      <c r="Y9" s="85">
        <f t="shared" si="6"/>
        <v>1295.987195488897</v>
      </c>
    </row>
    <row r="10" spans="1:36" s="92" customFormat="1" x14ac:dyDescent="0.25">
      <c r="A10" s="90">
        <v>7</v>
      </c>
      <c r="B10" s="90" t="s">
        <v>25</v>
      </c>
      <c r="C10" s="91"/>
      <c r="D10" s="91"/>
      <c r="E10" s="91">
        <f t="shared" si="3"/>
        <v>0</v>
      </c>
      <c r="F10" s="191"/>
      <c r="G10" s="91"/>
      <c r="H10" s="91"/>
      <c r="I10" s="91">
        <f t="shared" si="4"/>
        <v>0</v>
      </c>
      <c r="J10" s="191"/>
      <c r="K10" s="91"/>
      <c r="L10" s="91"/>
      <c r="M10" s="91">
        <f t="shared" si="5"/>
        <v>0</v>
      </c>
      <c r="O10" s="91"/>
      <c r="P10" s="91"/>
      <c r="Q10" s="91">
        <f t="shared" si="0"/>
        <v>0</v>
      </c>
      <c r="S10" s="91"/>
      <c r="T10" s="91"/>
      <c r="U10" s="91">
        <f t="shared" si="1"/>
        <v>0</v>
      </c>
      <c r="W10" s="91">
        <f t="shared" si="2"/>
        <v>168</v>
      </c>
      <c r="X10" s="91">
        <f>VLOOKUP(W2,AA16:AJ26,6,FALSE)</f>
        <v>20.989185866556216</v>
      </c>
      <c r="Y10" s="91">
        <f t="shared" si="6"/>
        <v>3526.1832255814443</v>
      </c>
    </row>
    <row r="11" spans="1:36" s="86" customFormat="1" x14ac:dyDescent="0.25">
      <c r="A11" s="84">
        <v>8</v>
      </c>
      <c r="B11" s="84" t="s">
        <v>26</v>
      </c>
      <c r="C11" s="85"/>
      <c r="D11" s="85"/>
      <c r="E11" s="85">
        <f t="shared" si="3"/>
        <v>0</v>
      </c>
      <c r="F11" s="191"/>
      <c r="G11" s="85"/>
      <c r="H11" s="85"/>
      <c r="I11" s="85">
        <f t="shared" si="4"/>
        <v>0</v>
      </c>
      <c r="J11" s="191"/>
      <c r="K11" s="85"/>
      <c r="L11" s="85"/>
      <c r="M11" s="85">
        <f t="shared" si="5"/>
        <v>0</v>
      </c>
      <c r="O11" s="85"/>
      <c r="P11" s="85"/>
      <c r="Q11" s="85">
        <f t="shared" si="0"/>
        <v>0</v>
      </c>
      <c r="S11" s="85"/>
      <c r="T11" s="85"/>
      <c r="U11" s="85">
        <f t="shared" si="1"/>
        <v>0</v>
      </c>
      <c r="W11" s="85">
        <f t="shared" si="2"/>
        <v>142</v>
      </c>
      <c r="X11" s="91">
        <f>VLOOKUP(W2,AA16:AJ26,7,FALSE)</f>
        <v>7.5039827862252055</v>
      </c>
      <c r="Y11" s="85">
        <f t="shared" si="6"/>
        <v>1065.5655556439792</v>
      </c>
    </row>
    <row r="12" spans="1:36" x14ac:dyDescent="0.25">
      <c r="A12" s="5">
        <v>9</v>
      </c>
      <c r="B12" s="5" t="s">
        <v>27</v>
      </c>
      <c r="C12" s="78"/>
      <c r="D12" s="78"/>
      <c r="E12" s="77">
        <f t="shared" si="3"/>
        <v>0</v>
      </c>
      <c r="F12" s="191"/>
      <c r="G12" s="78"/>
      <c r="H12" s="78"/>
      <c r="I12" s="77">
        <f t="shared" si="4"/>
        <v>0</v>
      </c>
      <c r="J12" s="191"/>
      <c r="K12" s="78"/>
      <c r="L12" s="78"/>
      <c r="M12" s="77">
        <f t="shared" si="5"/>
        <v>0</v>
      </c>
      <c r="O12" s="78"/>
      <c r="P12" s="78"/>
      <c r="Q12" s="77">
        <f t="shared" si="0"/>
        <v>0</v>
      </c>
      <c r="S12" s="78"/>
      <c r="T12" s="78"/>
      <c r="U12" s="77">
        <f t="shared" si="1"/>
        <v>0</v>
      </c>
      <c r="W12" s="85">
        <f t="shared" si="2"/>
        <v>168</v>
      </c>
      <c r="X12" s="157">
        <f>L39</f>
        <v>12.599804000000001</v>
      </c>
      <c r="Y12" s="77">
        <f t="shared" si="6"/>
        <v>2116.7670720000001</v>
      </c>
    </row>
    <row r="13" spans="1:36" s="86" customFormat="1" x14ac:dyDescent="0.25">
      <c r="A13" s="84">
        <v>10</v>
      </c>
      <c r="B13" s="84" t="s">
        <v>28</v>
      </c>
      <c r="C13" s="85"/>
      <c r="D13" s="85"/>
      <c r="E13" s="85">
        <f t="shared" si="3"/>
        <v>0</v>
      </c>
      <c r="F13" s="191"/>
      <c r="G13" s="85"/>
      <c r="H13" s="85"/>
      <c r="I13" s="85">
        <f t="shared" si="4"/>
        <v>0</v>
      </c>
      <c r="J13" s="191"/>
      <c r="K13" s="85"/>
      <c r="L13" s="85"/>
      <c r="M13" s="85">
        <f t="shared" si="5"/>
        <v>0</v>
      </c>
      <c r="O13" s="85"/>
      <c r="P13" s="85"/>
      <c r="Q13" s="85">
        <f t="shared" si="0"/>
        <v>0</v>
      </c>
      <c r="S13" s="85"/>
      <c r="T13" s="85"/>
      <c r="U13" s="85">
        <f t="shared" si="1"/>
        <v>0</v>
      </c>
      <c r="W13" s="85">
        <f t="shared" si="2"/>
        <v>116</v>
      </c>
      <c r="X13" s="91">
        <f>VLOOKUP(W2,AA16:AJ26,8,FALSE)</f>
        <v>10.89064870158737</v>
      </c>
      <c r="Y13" s="85">
        <f t="shared" si="6"/>
        <v>1263.3152493841349</v>
      </c>
    </row>
    <row r="14" spans="1:36" s="92" customFormat="1" x14ac:dyDescent="0.25">
      <c r="A14" s="90">
        <v>11</v>
      </c>
      <c r="B14" s="90" t="s">
        <v>25</v>
      </c>
      <c r="C14" s="91"/>
      <c r="D14" s="91"/>
      <c r="E14" s="91">
        <f t="shared" si="3"/>
        <v>0</v>
      </c>
      <c r="F14" s="191"/>
      <c r="G14" s="91"/>
      <c r="H14" s="91"/>
      <c r="I14" s="91">
        <f t="shared" si="4"/>
        <v>0</v>
      </c>
      <c r="J14" s="191"/>
      <c r="K14" s="91"/>
      <c r="L14" s="91"/>
      <c r="M14" s="91">
        <f t="shared" si="5"/>
        <v>0</v>
      </c>
      <c r="O14" s="91"/>
      <c r="P14" s="91"/>
      <c r="Q14" s="91">
        <f t="shared" si="0"/>
        <v>0</v>
      </c>
      <c r="S14" s="91"/>
      <c r="T14" s="91"/>
      <c r="U14" s="91">
        <f t="shared" si="1"/>
        <v>0</v>
      </c>
      <c r="W14" s="91">
        <f t="shared" si="2"/>
        <v>168</v>
      </c>
      <c r="X14" s="91">
        <f>VLOOKUP(W2,AA16:AJ26,9,FALSE)</f>
        <v>20.989185866556216</v>
      </c>
      <c r="Y14" s="91">
        <f t="shared" si="6"/>
        <v>3526.1832255814443</v>
      </c>
      <c r="AA14" s="103" t="s">
        <v>132</v>
      </c>
      <c r="AB14" s="193">
        <v>1</v>
      </c>
      <c r="AC14" s="193"/>
      <c r="AD14" s="193"/>
      <c r="AE14" s="193">
        <v>2</v>
      </c>
      <c r="AF14" s="193"/>
      <c r="AG14" s="193"/>
      <c r="AH14" s="193">
        <v>3</v>
      </c>
      <c r="AI14" s="193"/>
      <c r="AJ14" s="193"/>
    </row>
    <row r="15" spans="1:36" s="86" customFormat="1" ht="39" x14ac:dyDescent="0.25">
      <c r="A15" s="84">
        <v>12</v>
      </c>
      <c r="B15" s="84" t="s">
        <v>26</v>
      </c>
      <c r="C15" s="85"/>
      <c r="D15" s="85"/>
      <c r="E15" s="85">
        <f t="shared" si="3"/>
        <v>0</v>
      </c>
      <c r="F15" s="191"/>
      <c r="G15" s="85"/>
      <c r="H15" s="85"/>
      <c r="I15" s="85">
        <f t="shared" si="4"/>
        <v>0</v>
      </c>
      <c r="J15" s="191"/>
      <c r="K15" s="85"/>
      <c r="L15" s="85"/>
      <c r="M15" s="85">
        <f t="shared" si="5"/>
        <v>0</v>
      </c>
      <c r="O15" s="85"/>
      <c r="P15" s="85"/>
      <c r="Q15" s="85">
        <f t="shared" si="0"/>
        <v>0</v>
      </c>
      <c r="S15" s="85"/>
      <c r="T15" s="85"/>
      <c r="U15" s="85">
        <f t="shared" si="1"/>
        <v>0</v>
      </c>
      <c r="W15" s="85">
        <f t="shared" si="2"/>
        <v>136</v>
      </c>
      <c r="X15" s="91">
        <f>VLOOKUP(W2,AA16:AJ26,10,FALSE)</f>
        <v>7.5039827862252055</v>
      </c>
      <c r="Y15" s="85">
        <f t="shared" si="6"/>
        <v>1020.541658926628</v>
      </c>
      <c r="AA15" s="101" t="s">
        <v>131</v>
      </c>
      <c r="AB15" s="5" t="s">
        <v>24</v>
      </c>
      <c r="AC15" s="90" t="s">
        <v>25</v>
      </c>
      <c r="AD15" s="84" t="s">
        <v>26</v>
      </c>
      <c r="AE15" s="84" t="s">
        <v>28</v>
      </c>
      <c r="AF15" s="90" t="s">
        <v>25</v>
      </c>
      <c r="AG15" s="84" t="s">
        <v>26</v>
      </c>
      <c r="AH15" s="84" t="s">
        <v>28</v>
      </c>
      <c r="AI15" s="90" t="s">
        <v>25</v>
      </c>
      <c r="AJ15" s="84" t="s">
        <v>26</v>
      </c>
    </row>
    <row r="16" spans="1:36" x14ac:dyDescent="0.25">
      <c r="A16" s="5">
        <v>13</v>
      </c>
      <c r="B16" s="5" t="s">
        <v>27</v>
      </c>
      <c r="C16" s="78"/>
      <c r="D16" s="78"/>
      <c r="E16" s="77">
        <f t="shared" si="3"/>
        <v>0</v>
      </c>
      <c r="F16" s="191"/>
      <c r="G16" s="78"/>
      <c r="H16" s="78"/>
      <c r="I16" s="77">
        <f t="shared" si="4"/>
        <v>0</v>
      </c>
      <c r="J16" s="191"/>
      <c r="K16" s="78"/>
      <c r="L16" s="78"/>
      <c r="M16" s="77">
        <f t="shared" si="5"/>
        <v>0</v>
      </c>
      <c r="O16" s="78"/>
      <c r="P16" s="78"/>
      <c r="Q16" s="77">
        <f t="shared" si="0"/>
        <v>0</v>
      </c>
      <c r="S16" s="78"/>
      <c r="T16" s="78"/>
      <c r="U16" s="77">
        <f t="shared" si="1"/>
        <v>0</v>
      </c>
      <c r="W16" s="85">
        <f t="shared" si="2"/>
        <v>149</v>
      </c>
      <c r="X16" s="157">
        <f>L43</f>
        <v>12.80608</v>
      </c>
      <c r="Y16" s="77">
        <f t="shared" si="6"/>
        <v>1908.10592</v>
      </c>
      <c r="AA16" s="32">
        <v>0</v>
      </c>
      <c r="AB16" s="32">
        <f>AB68/$AB$28</f>
        <v>10.027478906367962</v>
      </c>
      <c r="AC16" s="32">
        <f t="shared" ref="AC16:AJ19" si="7">AC68/$AC$29</f>
        <v>19.046610095362972</v>
      </c>
      <c r="AD16" s="32">
        <f t="shared" si="7"/>
        <v>7.2077729394005265</v>
      </c>
      <c r="AE16" s="32">
        <f t="shared" si="7"/>
        <v>10.959764332513128</v>
      </c>
      <c r="AF16" s="32">
        <f t="shared" si="7"/>
        <v>19.046610095362972</v>
      </c>
      <c r="AG16" s="32">
        <f t="shared" si="7"/>
        <v>7.2077729394005265</v>
      </c>
      <c r="AH16" s="32">
        <f t="shared" si="7"/>
        <v>10.959764332513128</v>
      </c>
      <c r="AI16" s="32">
        <f t="shared" si="7"/>
        <v>19.046610095362972</v>
      </c>
      <c r="AJ16" s="32">
        <f t="shared" si="7"/>
        <v>7.2077729394005265</v>
      </c>
    </row>
    <row r="17" spans="1:36" x14ac:dyDescent="0.25">
      <c r="A17" s="5">
        <v>14</v>
      </c>
      <c r="B17" s="5" t="s">
        <v>29</v>
      </c>
      <c r="C17" s="78"/>
      <c r="D17" s="78"/>
      <c r="E17" s="77">
        <f t="shared" si="3"/>
        <v>0</v>
      </c>
      <c r="F17" s="191"/>
      <c r="G17" s="78"/>
      <c r="H17" s="78"/>
      <c r="I17" s="77">
        <f t="shared" si="4"/>
        <v>0</v>
      </c>
      <c r="J17" s="191"/>
      <c r="K17" s="78"/>
      <c r="L17" s="78"/>
      <c r="M17" s="77">
        <f t="shared" si="5"/>
        <v>0</v>
      </c>
      <c r="O17" s="78"/>
      <c r="P17" s="78"/>
      <c r="Q17" s="77">
        <f t="shared" si="0"/>
        <v>0</v>
      </c>
      <c r="S17" s="78"/>
      <c r="T17" s="78"/>
      <c r="U17" s="77">
        <f t="shared" si="1"/>
        <v>0</v>
      </c>
      <c r="W17" s="85">
        <f t="shared" si="2"/>
        <v>206</v>
      </c>
      <c r="X17" s="157">
        <f>L44</f>
        <v>8.0224240000000009</v>
      </c>
      <c r="Y17" s="77">
        <f t="shared" si="6"/>
        <v>1652.6193440000002</v>
      </c>
      <c r="AA17" s="32">
        <v>1</v>
      </c>
      <c r="AB17" s="32">
        <f t="shared" ref="AB17" si="8">AB69/$AB$28</f>
        <v>10.566611515803475</v>
      </c>
      <c r="AC17" s="32">
        <f t="shared" si="7"/>
        <v>19.547184001807402</v>
      </c>
      <c r="AD17" s="32">
        <f t="shared" ref="AD17:AJ17" si="9">AD69/$AC$29</f>
        <v>7.3065095550087529</v>
      </c>
      <c r="AE17" s="32">
        <f t="shared" si="9"/>
        <v>10.959764332513128</v>
      </c>
      <c r="AF17" s="32">
        <f t="shared" si="9"/>
        <v>19.547184001807402</v>
      </c>
      <c r="AG17" s="32">
        <f t="shared" si="9"/>
        <v>7.3065095550087529</v>
      </c>
      <c r="AH17" s="32">
        <f t="shared" si="9"/>
        <v>10.959764332513128</v>
      </c>
      <c r="AI17" s="32">
        <f t="shared" si="9"/>
        <v>19.547184001807402</v>
      </c>
      <c r="AJ17" s="32">
        <f t="shared" si="9"/>
        <v>7.3065095550087529</v>
      </c>
    </row>
    <row r="18" spans="1:36" x14ac:dyDescent="0.25">
      <c r="A18" s="5">
        <v>15</v>
      </c>
      <c r="B18" s="5" t="s">
        <v>60</v>
      </c>
      <c r="C18" s="78"/>
      <c r="D18" s="78"/>
      <c r="E18" s="77"/>
      <c r="F18" s="191"/>
      <c r="G18" s="78"/>
      <c r="H18" s="78"/>
      <c r="I18" s="77"/>
      <c r="J18" s="191"/>
      <c r="K18" s="78"/>
      <c r="L18" s="78"/>
      <c r="M18" s="77"/>
      <c r="O18" s="78"/>
      <c r="P18" s="78"/>
      <c r="Q18" s="77"/>
      <c r="S18" s="78"/>
      <c r="T18" s="78"/>
      <c r="U18" s="77"/>
      <c r="W18" s="78"/>
      <c r="X18" s="78"/>
      <c r="Y18" s="77"/>
      <c r="AA18" s="32">
        <v>2</v>
      </c>
      <c r="AB18" s="32">
        <f>AB70/$AB$28</f>
        <v>10.74010560522095</v>
      </c>
      <c r="AC18" s="32">
        <f t="shared" si="7"/>
        <v>20.989185866556216</v>
      </c>
      <c r="AD18" s="32">
        <f t="shared" ref="AD18:AJ18" si="10">AD70/$AC$29</f>
        <v>7.5039827862252055</v>
      </c>
      <c r="AE18" s="32">
        <f t="shared" si="10"/>
        <v>10.89064870158737</v>
      </c>
      <c r="AF18" s="32">
        <f t="shared" si="10"/>
        <v>20.989185866556216</v>
      </c>
      <c r="AG18" s="32">
        <f t="shared" si="10"/>
        <v>7.5039827862252055</v>
      </c>
      <c r="AH18" s="32">
        <f t="shared" si="10"/>
        <v>10.89064870158737</v>
      </c>
      <c r="AI18" s="32">
        <f t="shared" si="10"/>
        <v>20.989185866556216</v>
      </c>
      <c r="AJ18" s="32">
        <f t="shared" si="10"/>
        <v>7.5039827862252055</v>
      </c>
    </row>
    <row r="19" spans="1:36" x14ac:dyDescent="0.25">
      <c r="A19" s="79"/>
      <c r="B19" s="5" t="s">
        <v>56</v>
      </c>
      <c r="C19" s="173">
        <f>SUM(C4:C17)</f>
        <v>0</v>
      </c>
      <c r="D19" s="174"/>
      <c r="E19" s="175"/>
      <c r="F19" s="191"/>
      <c r="G19" s="184">
        <f>SUM(G4:G17)</f>
        <v>0</v>
      </c>
      <c r="H19" s="185"/>
      <c r="I19" s="186"/>
      <c r="J19" s="191"/>
      <c r="K19" s="184">
        <f>SUM(K4:K17)</f>
        <v>0</v>
      </c>
      <c r="L19" s="185"/>
      <c r="M19" s="186"/>
      <c r="O19" s="173">
        <f>SUM(O4:O17)</f>
        <v>0</v>
      </c>
      <c r="P19" s="174"/>
      <c r="Q19" s="175"/>
      <c r="S19" s="173">
        <f>SUM(S4:S17)</f>
        <v>0</v>
      </c>
      <c r="T19" s="174"/>
      <c r="U19" s="175"/>
      <c r="W19" s="184">
        <f>SUM(W4:W17)</f>
        <v>2245</v>
      </c>
      <c r="X19" s="185"/>
      <c r="Y19" s="186"/>
      <c r="AA19" s="76">
        <v>3</v>
      </c>
      <c r="AB19" s="76">
        <f>H89</f>
        <v>11.316935000000001</v>
      </c>
      <c r="AC19" s="32">
        <f t="shared" si="7"/>
        <v>21.072328021095277</v>
      </c>
      <c r="AD19" s="32">
        <f t="shared" si="7"/>
        <v>7.5533510940293187</v>
      </c>
      <c r="AE19" s="32">
        <f t="shared" si="7"/>
        <v>11.650920641770714</v>
      </c>
      <c r="AF19" s="32">
        <f t="shared" si="7"/>
        <v>21.072328021095277</v>
      </c>
      <c r="AG19" s="32">
        <f t="shared" ref="AG19:AJ19" si="11">AG71/$AC$29</f>
        <v>7.5533510940293187</v>
      </c>
      <c r="AH19" s="32">
        <f t="shared" si="11"/>
        <v>11.650920641770714</v>
      </c>
      <c r="AI19" s="32">
        <f t="shared" si="11"/>
        <v>21.072328021095277</v>
      </c>
      <c r="AJ19" s="32">
        <f t="shared" si="11"/>
        <v>7.5533510940293187</v>
      </c>
    </row>
    <row r="20" spans="1:36" x14ac:dyDescent="0.25">
      <c r="A20" s="79"/>
      <c r="B20" s="5" t="s">
        <v>57</v>
      </c>
      <c r="C20" s="173" t="e">
        <f>SUM(E4:E17)/C19</f>
        <v>#DIV/0!</v>
      </c>
      <c r="D20" s="174"/>
      <c r="E20" s="175"/>
      <c r="F20" s="192"/>
      <c r="G20" s="184" t="e">
        <f>SUM(I4:I17)/G19</f>
        <v>#DIV/0!</v>
      </c>
      <c r="H20" s="185"/>
      <c r="I20" s="186"/>
      <c r="J20" s="192"/>
      <c r="K20" s="184" t="e">
        <f>SUM(M4:M17)/K19</f>
        <v>#DIV/0!</v>
      </c>
      <c r="L20" s="185"/>
      <c r="M20" s="186"/>
      <c r="O20" s="173" t="e">
        <f>SUM(Q4:Q17)/O19</f>
        <v>#DIV/0!</v>
      </c>
      <c r="P20" s="174"/>
      <c r="Q20" s="175"/>
      <c r="S20" s="173" t="e">
        <f>SUM(U4:U17)/S19</f>
        <v>#DIV/0!</v>
      </c>
      <c r="T20" s="174"/>
      <c r="U20" s="175"/>
      <c r="W20" s="184">
        <f>SUM(Y4:Y17)/W19</f>
        <v>12.241626736832581</v>
      </c>
      <c r="X20" s="185"/>
      <c r="Y20" s="186"/>
      <c r="AA20" s="76">
        <v>4</v>
      </c>
      <c r="AB20" s="93">
        <f>AB72/$AB$28</f>
        <v>11.331304078902837</v>
      </c>
      <c r="AC20" s="93">
        <f>L33</f>
        <v>22.183736</v>
      </c>
      <c r="AD20" s="32">
        <f t="shared" ref="AD20:AF20" si="12">AD72/$AC$29</f>
        <v>7.7014560174416582</v>
      </c>
      <c r="AE20" s="32">
        <f t="shared" si="12"/>
        <v>12.026119781081974</v>
      </c>
      <c r="AF20" s="32">
        <f t="shared" si="12"/>
        <v>22.183736</v>
      </c>
      <c r="AG20" s="32">
        <f t="shared" ref="AG20:AJ20" si="13">AG72/$AC$29</f>
        <v>7.7014560174416582</v>
      </c>
      <c r="AH20" s="32">
        <f t="shared" si="13"/>
        <v>12.026119781081974</v>
      </c>
      <c r="AI20" s="32">
        <f t="shared" si="13"/>
        <v>22.183736</v>
      </c>
      <c r="AJ20" s="32">
        <f t="shared" si="13"/>
        <v>7.7014560174416582</v>
      </c>
    </row>
    <row r="21" spans="1:36" x14ac:dyDescent="0.25">
      <c r="D21" t="s">
        <v>61</v>
      </c>
      <c r="E21" t="s">
        <v>62</v>
      </c>
      <c r="H21" t="s">
        <v>61</v>
      </c>
      <c r="I21" t="s">
        <v>62</v>
      </c>
      <c r="L21" t="s">
        <v>61</v>
      </c>
      <c r="M21" t="s">
        <v>62</v>
      </c>
      <c r="P21" t="s">
        <v>61</v>
      </c>
      <c r="Q21" t="s">
        <v>62</v>
      </c>
      <c r="T21" t="s">
        <v>61</v>
      </c>
      <c r="U21" t="s">
        <v>62</v>
      </c>
      <c r="X21" t="s">
        <v>61</v>
      </c>
      <c r="Y21" t="s">
        <v>62</v>
      </c>
      <c r="AA21" s="32">
        <v>5</v>
      </c>
      <c r="AB21" s="93">
        <f t="shared" ref="AB21:AB26" si="14">AB73/$AB$28</f>
        <v>11.880882180037521</v>
      </c>
      <c r="AC21" s="76">
        <f>AC73/$AC$29</f>
        <v>25.01097407445214</v>
      </c>
      <c r="AD21" s="76">
        <f t="shared" ref="AD21:AJ21" si="15">AD73/$AC$29</f>
        <v>8.0213527783507494</v>
      </c>
      <c r="AE21" s="76">
        <f t="shared" si="15"/>
        <v>13.518606664757428</v>
      </c>
      <c r="AF21" s="76">
        <f t="shared" si="15"/>
        <v>25.01097407445214</v>
      </c>
      <c r="AG21" s="76">
        <f t="shared" si="15"/>
        <v>8.0213527783507494</v>
      </c>
      <c r="AH21" s="76">
        <f t="shared" si="15"/>
        <v>13.518606664757428</v>
      </c>
      <c r="AI21" s="76">
        <f t="shared" si="15"/>
        <v>25.01097407445214</v>
      </c>
      <c r="AJ21" s="76">
        <f t="shared" si="15"/>
        <v>8.0213527783507494</v>
      </c>
    </row>
    <row r="22" spans="1:36" x14ac:dyDescent="0.25">
      <c r="B22" s="5" t="s">
        <v>60</v>
      </c>
      <c r="C22" s="78">
        <v>107677</v>
      </c>
      <c r="D22" s="78">
        <v>0.38146999999999998</v>
      </c>
      <c r="E22" s="77">
        <v>7.6249999999999998E-3</v>
      </c>
      <c r="G22" s="80">
        <v>104802</v>
      </c>
      <c r="H22" s="78">
        <v>0.305176</v>
      </c>
      <c r="I22" s="77">
        <v>1.2914E-2</v>
      </c>
      <c r="K22" s="78">
        <v>1056141</v>
      </c>
      <c r="L22" s="78">
        <v>0.33060699999999998</v>
      </c>
      <c r="M22" s="77">
        <v>1.0404999999999999E-2</v>
      </c>
      <c r="O22" s="78">
        <v>19139</v>
      </c>
      <c r="P22" s="78">
        <v>0.27974399999999999</v>
      </c>
      <c r="Q22" s="77">
        <v>7.4409999999999997E-3</v>
      </c>
      <c r="S22" s="78">
        <v>27154</v>
      </c>
      <c r="T22" s="78">
        <v>0.33060699999999998</v>
      </c>
      <c r="U22" s="77">
        <v>9.5300000000000003E-3</v>
      </c>
      <c r="W22" s="78">
        <v>97421</v>
      </c>
      <c r="X22" s="78">
        <f>AVERAGE(D22,H22,L22)</f>
        <v>0.33908433333333332</v>
      </c>
      <c r="Y22" s="77">
        <f>AVERAGE(E22,I22,M22,Q22,U22)</f>
        <v>9.5829999999999995E-3</v>
      </c>
      <c r="AA22" s="32">
        <v>6</v>
      </c>
      <c r="AB22" s="93">
        <f t="shared" si="14"/>
        <v>12.316634868372651</v>
      </c>
      <c r="AC22" s="76">
        <f t="shared" ref="AC22:AJ26" si="16">AC74/$AC$29</f>
        <v>39.922647749896782</v>
      </c>
      <c r="AD22" s="76">
        <f t="shared" si="16"/>
        <v>8.1951390954827907</v>
      </c>
      <c r="AE22" s="76">
        <f t="shared" si="16"/>
        <v>14.513590350733866</v>
      </c>
      <c r="AF22" s="76">
        <f t="shared" si="16"/>
        <v>39.922647749896782</v>
      </c>
      <c r="AG22" s="76">
        <f t="shared" si="16"/>
        <v>8.1951390954827907</v>
      </c>
      <c r="AH22" s="76">
        <f t="shared" si="16"/>
        <v>14.513590350733866</v>
      </c>
      <c r="AI22" s="76">
        <f t="shared" si="16"/>
        <v>39.922647749896782</v>
      </c>
      <c r="AJ22" s="76">
        <f t="shared" si="16"/>
        <v>8.1951390954827907</v>
      </c>
    </row>
    <row r="23" spans="1:36" x14ac:dyDescent="0.25">
      <c r="X23" t="s">
        <v>63</v>
      </c>
      <c r="AA23" s="32">
        <v>7</v>
      </c>
      <c r="AB23" s="93">
        <f t="shared" si="14"/>
        <v>12.88108358178201</v>
      </c>
      <c r="AC23" s="76">
        <f t="shared" si="16"/>
        <v>44.447953202748415</v>
      </c>
      <c r="AD23" s="76">
        <f t="shared" si="16"/>
        <v>8.2938757110910171</v>
      </c>
      <c r="AE23" s="76">
        <f t="shared" si="16"/>
        <v>14.783523422046727</v>
      </c>
      <c r="AF23" s="76">
        <f t="shared" si="16"/>
        <v>44.447953202748415</v>
      </c>
      <c r="AG23" s="76">
        <f t="shared" si="16"/>
        <v>8.2938757110910171</v>
      </c>
      <c r="AH23" s="76">
        <f t="shared" si="16"/>
        <v>14.783523422046727</v>
      </c>
      <c r="AI23" s="76">
        <f t="shared" si="16"/>
        <v>44.447953202748415</v>
      </c>
      <c r="AJ23" s="76">
        <f t="shared" si="16"/>
        <v>8.2938757110910171</v>
      </c>
    </row>
    <row r="24" spans="1:36" x14ac:dyDescent="0.25">
      <c r="AA24" s="32">
        <v>8</v>
      </c>
      <c r="AB24" s="93">
        <f t="shared" si="14"/>
        <v>16.388100516925068</v>
      </c>
      <c r="AC24" s="76">
        <f t="shared" si="16"/>
        <v>47.196102260732211</v>
      </c>
      <c r="AD24" s="76">
        <f t="shared" si="16"/>
        <v>8.9850320203486014</v>
      </c>
      <c r="AE24" s="76">
        <f t="shared" si="16"/>
        <v>16.117045341959091</v>
      </c>
      <c r="AF24" s="76">
        <f t="shared" si="16"/>
        <v>47.196102260732211</v>
      </c>
      <c r="AG24" s="76">
        <f t="shared" si="16"/>
        <v>8.9850320203486014</v>
      </c>
      <c r="AH24" s="76">
        <f t="shared" si="16"/>
        <v>16.117045341959091</v>
      </c>
      <c r="AI24" s="76">
        <f t="shared" si="16"/>
        <v>47.196102260732211</v>
      </c>
      <c r="AJ24" s="76">
        <f t="shared" si="16"/>
        <v>8.9850320203486014</v>
      </c>
    </row>
    <row r="25" spans="1:36" x14ac:dyDescent="0.25">
      <c r="AA25" s="32">
        <v>9</v>
      </c>
      <c r="AB25" s="93">
        <f t="shared" si="14"/>
        <v>17.842568479873435</v>
      </c>
      <c r="AC25" s="76">
        <f t="shared" si="16"/>
        <v>47.478023931912226</v>
      </c>
      <c r="AD25" s="76">
        <f t="shared" si="16"/>
        <v>9.8736615608226384</v>
      </c>
      <c r="AE25" s="76">
        <f t="shared" si="16"/>
        <v>16.883961269006715</v>
      </c>
      <c r="AF25" s="76">
        <f t="shared" si="16"/>
        <v>47.478023931912226</v>
      </c>
      <c r="AG25" s="76">
        <f t="shared" si="16"/>
        <v>9.8736615608226384</v>
      </c>
      <c r="AH25" s="76">
        <f t="shared" si="16"/>
        <v>16.883961269006715</v>
      </c>
      <c r="AI25" s="76">
        <f t="shared" si="16"/>
        <v>47.478023931912226</v>
      </c>
      <c r="AJ25" s="76">
        <f t="shared" si="16"/>
        <v>9.8736615608226384</v>
      </c>
    </row>
    <row r="26" spans="1:36" x14ac:dyDescent="0.25">
      <c r="AA26" s="32">
        <v>10</v>
      </c>
      <c r="AB26" s="93">
        <f t="shared" si="14"/>
        <v>19.297036442821799</v>
      </c>
      <c r="AC26" s="76">
        <f t="shared" si="16"/>
        <v>53.89939428580869</v>
      </c>
      <c r="AD26" s="76">
        <f t="shared" si="16"/>
        <v>10.728674245780542</v>
      </c>
      <c r="AE26" s="76">
        <f t="shared" si="16"/>
        <v>18.238607887828454</v>
      </c>
      <c r="AF26" s="76">
        <f t="shared" si="16"/>
        <v>53.89939428580869</v>
      </c>
      <c r="AG26" s="76">
        <f t="shared" si="16"/>
        <v>10.728674245780542</v>
      </c>
      <c r="AH26" s="76">
        <f t="shared" si="16"/>
        <v>18.238607887828454</v>
      </c>
      <c r="AI26" s="76">
        <f t="shared" si="16"/>
        <v>53.89939428580869</v>
      </c>
      <c r="AJ26" s="76">
        <f t="shared" si="16"/>
        <v>10.728674245780542</v>
      </c>
    </row>
    <row r="28" spans="1:36" x14ac:dyDescent="0.25">
      <c r="A28" s="176" t="s">
        <v>59</v>
      </c>
      <c r="B28" s="176"/>
      <c r="C28" s="194" t="s">
        <v>125</v>
      </c>
      <c r="D28" s="195"/>
      <c r="E28" s="196"/>
      <c r="F28" s="190"/>
      <c r="G28" s="194" t="s">
        <v>205</v>
      </c>
      <c r="H28" s="195"/>
      <c r="I28" s="196"/>
      <c r="J28" s="190"/>
      <c r="K28" s="194" t="s">
        <v>220</v>
      </c>
      <c r="L28" s="195"/>
      <c r="M28" s="196"/>
      <c r="N28" s="190"/>
      <c r="O28" s="194" t="s">
        <v>212</v>
      </c>
      <c r="P28" s="195"/>
      <c r="Q28" s="196"/>
      <c r="R28" s="190"/>
      <c r="S28" s="194" t="s">
        <v>129</v>
      </c>
      <c r="T28" s="195"/>
      <c r="U28" s="196"/>
      <c r="V28" s="190"/>
      <c r="W28" s="194" t="s">
        <v>214</v>
      </c>
      <c r="X28" s="195"/>
      <c r="Y28" s="196"/>
      <c r="AA28" t="s">
        <v>238</v>
      </c>
      <c r="AB28">
        <f>AB71/AB19</f>
        <v>1.0148875998669251</v>
      </c>
    </row>
    <row r="29" spans="1:36" x14ac:dyDescent="0.25">
      <c r="A29" s="176"/>
      <c r="B29" s="176"/>
      <c r="C29" s="197"/>
      <c r="D29" s="198"/>
      <c r="E29" s="199"/>
      <c r="F29" s="191"/>
      <c r="G29" s="197"/>
      <c r="H29" s="198"/>
      <c r="I29" s="199"/>
      <c r="J29" s="191"/>
      <c r="K29" s="197"/>
      <c r="L29" s="198"/>
      <c r="M29" s="199"/>
      <c r="N29" s="191"/>
      <c r="O29" s="197"/>
      <c r="P29" s="198"/>
      <c r="Q29" s="199"/>
      <c r="R29" s="191"/>
      <c r="S29" s="197"/>
      <c r="T29" s="198"/>
      <c r="U29" s="199"/>
      <c r="V29" s="191"/>
      <c r="W29" s="197"/>
      <c r="X29" s="198"/>
      <c r="Y29" s="199"/>
      <c r="AC29">
        <f>AC72/AC20</f>
        <v>1.0127955002710094</v>
      </c>
    </row>
    <row r="30" spans="1:36" ht="45" x14ac:dyDescent="0.25">
      <c r="A30" s="5"/>
      <c r="B30" s="5" t="s">
        <v>19</v>
      </c>
      <c r="C30" s="77" t="s">
        <v>53</v>
      </c>
      <c r="D30" s="77" t="s">
        <v>54</v>
      </c>
      <c r="E30" s="77" t="s">
        <v>55</v>
      </c>
      <c r="F30" s="191"/>
      <c r="G30" s="77" t="s">
        <v>53</v>
      </c>
      <c r="H30" s="77" t="s">
        <v>54</v>
      </c>
      <c r="I30" s="77" t="s">
        <v>55</v>
      </c>
      <c r="J30" s="191"/>
      <c r="K30" s="77" t="s">
        <v>53</v>
      </c>
      <c r="L30" s="77" t="s">
        <v>54</v>
      </c>
      <c r="M30" s="77" t="s">
        <v>55</v>
      </c>
      <c r="N30" s="191"/>
      <c r="O30" s="77" t="s">
        <v>53</v>
      </c>
      <c r="P30" s="77" t="s">
        <v>54</v>
      </c>
      <c r="Q30" s="77" t="s">
        <v>55</v>
      </c>
      <c r="R30" s="191"/>
      <c r="S30" s="77" t="s">
        <v>53</v>
      </c>
      <c r="T30" s="77" t="s">
        <v>54</v>
      </c>
      <c r="U30" s="77" t="s">
        <v>55</v>
      </c>
      <c r="V30" s="191"/>
      <c r="W30" s="77" t="s">
        <v>53</v>
      </c>
      <c r="X30" s="77" t="s">
        <v>54</v>
      </c>
      <c r="Y30" s="77" t="s">
        <v>55</v>
      </c>
    </row>
    <row r="31" spans="1:36" x14ac:dyDescent="0.25">
      <c r="A31" s="5">
        <v>1</v>
      </c>
      <c r="B31" s="5" t="s">
        <v>23</v>
      </c>
      <c r="C31" s="100"/>
      <c r="D31" s="100"/>
      <c r="E31" s="77">
        <f>C31*D31</f>
        <v>0</v>
      </c>
      <c r="F31" s="191"/>
      <c r="G31" s="99">
        <v>286</v>
      </c>
      <c r="H31" s="99">
        <v>8.2696389999999997</v>
      </c>
      <c r="I31" s="77">
        <f>G31*H31</f>
        <v>2365.1167540000001</v>
      </c>
      <c r="J31" s="191"/>
      <c r="K31" s="100">
        <v>286</v>
      </c>
      <c r="L31" s="100">
        <v>8.1142850000000006</v>
      </c>
      <c r="M31" s="77">
        <f>K31*L31</f>
        <v>2320.6855100000002</v>
      </c>
      <c r="N31" s="191"/>
      <c r="O31" s="100">
        <v>297</v>
      </c>
      <c r="P31" s="100">
        <v>7.6138769999999996</v>
      </c>
      <c r="Q31" s="77">
        <f>O31*P31</f>
        <v>2261.321469</v>
      </c>
      <c r="R31" s="191"/>
      <c r="S31" s="100"/>
      <c r="T31" s="100"/>
      <c r="U31" s="77">
        <f>S31*T31</f>
        <v>0</v>
      </c>
      <c r="V31" s="191"/>
      <c r="W31" s="100">
        <v>297</v>
      </c>
      <c r="X31" s="100">
        <v>7.489522</v>
      </c>
      <c r="Y31" s="77">
        <f>W31*X31</f>
        <v>2224.3880340000001</v>
      </c>
    </row>
    <row r="32" spans="1:36" x14ac:dyDescent="0.25">
      <c r="A32" s="5">
        <v>2</v>
      </c>
      <c r="B32" s="5" t="s">
        <v>24</v>
      </c>
      <c r="C32" s="99"/>
      <c r="D32" s="99"/>
      <c r="E32" s="77">
        <f t="shared" ref="E32:E44" si="17">C32*D32</f>
        <v>0</v>
      </c>
      <c r="F32" s="191"/>
      <c r="G32" s="99">
        <v>110</v>
      </c>
      <c r="H32" s="99">
        <v>10.9</v>
      </c>
      <c r="I32" s="77">
        <f t="shared" ref="I32:I44" si="18">G32*H32</f>
        <v>1199</v>
      </c>
      <c r="J32" s="191"/>
      <c r="K32" s="99">
        <v>126</v>
      </c>
      <c r="L32" s="99">
        <v>10.423206</v>
      </c>
      <c r="M32" s="77">
        <f t="shared" ref="M32:M44" si="19">K32*L32</f>
        <v>1313.323956</v>
      </c>
      <c r="N32" s="191"/>
      <c r="O32" s="99">
        <v>121</v>
      </c>
      <c r="P32" s="99">
        <v>11.5</v>
      </c>
      <c r="Q32" s="77">
        <f t="shared" ref="Q32:Q44" si="20">O32*P32</f>
        <v>1391.5</v>
      </c>
      <c r="R32" s="191"/>
      <c r="S32" s="99"/>
      <c r="T32" s="99"/>
      <c r="U32" s="77">
        <f t="shared" ref="U32:U44" si="21">S32*T32</f>
        <v>0</v>
      </c>
      <c r="V32" s="191"/>
      <c r="W32" s="99">
        <v>121</v>
      </c>
      <c r="X32" s="99">
        <v>16.632079999999998</v>
      </c>
      <c r="Y32" s="77">
        <f t="shared" ref="Y32:Y44" si="22">W32*X32</f>
        <v>2012.4816799999999</v>
      </c>
    </row>
    <row r="33" spans="1:25" s="92" customFormat="1" x14ac:dyDescent="0.25">
      <c r="A33" s="90">
        <v>3</v>
      </c>
      <c r="B33" s="90" t="s">
        <v>25</v>
      </c>
      <c r="C33" s="99"/>
      <c r="D33" s="99"/>
      <c r="E33" s="91">
        <f t="shared" si="17"/>
        <v>0</v>
      </c>
      <c r="F33" s="191"/>
      <c r="G33" s="99">
        <v>181</v>
      </c>
      <c r="H33" s="99">
        <v>21.257753000000001</v>
      </c>
      <c r="I33" s="91">
        <f t="shared" si="18"/>
        <v>3847.6532930000003</v>
      </c>
      <c r="J33" s="191"/>
      <c r="K33" s="99">
        <v>177</v>
      </c>
      <c r="L33" s="99">
        <v>22.183736</v>
      </c>
      <c r="M33" s="91">
        <f t="shared" si="19"/>
        <v>3926.521272</v>
      </c>
      <c r="N33" s="191"/>
      <c r="O33" s="99">
        <v>194</v>
      </c>
      <c r="P33" s="99">
        <v>22.467587999999999</v>
      </c>
      <c r="Q33" s="91">
        <f t="shared" si="20"/>
        <v>4358.7120720000003</v>
      </c>
      <c r="R33" s="191"/>
      <c r="S33" s="99"/>
      <c r="T33" s="99"/>
      <c r="U33" s="91">
        <f t="shared" si="21"/>
        <v>0</v>
      </c>
      <c r="V33" s="191"/>
      <c r="W33" s="99">
        <v>185</v>
      </c>
      <c r="X33" s="99">
        <v>47.8</v>
      </c>
      <c r="Y33" s="91">
        <f t="shared" si="22"/>
        <v>8843</v>
      </c>
    </row>
    <row r="34" spans="1:25" s="120" customFormat="1" x14ac:dyDescent="0.25">
      <c r="A34" s="118">
        <v>4</v>
      </c>
      <c r="B34" s="118" t="s">
        <v>26</v>
      </c>
      <c r="C34" s="125"/>
      <c r="D34" s="125"/>
      <c r="E34" s="119">
        <f t="shared" si="17"/>
        <v>0</v>
      </c>
      <c r="F34" s="191"/>
      <c r="G34" s="125">
        <v>146</v>
      </c>
      <c r="H34" s="125">
        <v>7.6</v>
      </c>
      <c r="I34" s="119">
        <f t="shared" si="18"/>
        <v>1109.5999999999999</v>
      </c>
      <c r="J34" s="191"/>
      <c r="K34" s="125">
        <v>158</v>
      </c>
      <c r="L34" s="125">
        <v>9.6186880000000006</v>
      </c>
      <c r="M34" s="119">
        <f t="shared" si="19"/>
        <v>1519.752704</v>
      </c>
      <c r="N34" s="191"/>
      <c r="O34" s="125">
        <v>141</v>
      </c>
      <c r="P34" s="125">
        <v>7.8</v>
      </c>
      <c r="Q34" s="119">
        <f t="shared" si="20"/>
        <v>1099.8</v>
      </c>
      <c r="R34" s="191"/>
      <c r="S34" s="125"/>
      <c r="T34" s="125"/>
      <c r="U34" s="119">
        <f t="shared" si="21"/>
        <v>0</v>
      </c>
      <c r="V34" s="191"/>
      <c r="W34" s="125">
        <v>143</v>
      </c>
      <c r="X34" s="125">
        <v>9.1</v>
      </c>
      <c r="Y34" s="119">
        <f t="shared" si="22"/>
        <v>1301.3</v>
      </c>
    </row>
    <row r="35" spans="1:25" x14ac:dyDescent="0.25">
      <c r="A35" s="5">
        <v>5</v>
      </c>
      <c r="B35" s="5" t="s">
        <v>27</v>
      </c>
      <c r="C35" s="99"/>
      <c r="D35" s="99"/>
      <c r="E35" s="77">
        <f t="shared" si="17"/>
        <v>0</v>
      </c>
      <c r="F35" s="191"/>
      <c r="G35" s="99">
        <v>158</v>
      </c>
      <c r="H35" s="99">
        <v>12.336572</v>
      </c>
      <c r="I35" s="77">
        <f t="shared" si="18"/>
        <v>1949.1783760000001</v>
      </c>
      <c r="J35" s="191"/>
      <c r="K35" s="99">
        <v>157</v>
      </c>
      <c r="L35" s="99">
        <v>12.127910999999999</v>
      </c>
      <c r="M35" s="77">
        <f t="shared" si="19"/>
        <v>1904.0820269999999</v>
      </c>
      <c r="N35" s="191"/>
      <c r="O35" s="99">
        <v>149</v>
      </c>
      <c r="P35" s="99">
        <v>12.184143000000001</v>
      </c>
      <c r="Q35" s="77">
        <f t="shared" si="20"/>
        <v>1815.4373070000001</v>
      </c>
      <c r="R35" s="191"/>
      <c r="S35" s="99"/>
      <c r="T35" s="99"/>
      <c r="U35" s="77">
        <f t="shared" si="21"/>
        <v>0</v>
      </c>
      <c r="V35" s="191"/>
      <c r="W35" s="99">
        <v>123</v>
      </c>
      <c r="X35" s="99">
        <v>12.534005000000001</v>
      </c>
      <c r="Y35" s="77">
        <f t="shared" si="22"/>
        <v>1541.6826150000002</v>
      </c>
    </row>
    <row r="36" spans="1:25" s="120" customFormat="1" x14ac:dyDescent="0.25">
      <c r="A36" s="118">
        <v>6</v>
      </c>
      <c r="B36" s="118" t="s">
        <v>28</v>
      </c>
      <c r="C36" s="125"/>
      <c r="D36" s="125"/>
      <c r="E36" s="119">
        <f t="shared" si="17"/>
        <v>0</v>
      </c>
      <c r="F36" s="191"/>
      <c r="G36" s="125">
        <v>117</v>
      </c>
      <c r="H36" s="125">
        <v>11.85947</v>
      </c>
      <c r="I36" s="119">
        <f t="shared" si="18"/>
        <v>1387.55799</v>
      </c>
      <c r="J36" s="191"/>
      <c r="K36" s="125">
        <v>121</v>
      </c>
      <c r="L36" s="125">
        <v>12.876721999999999</v>
      </c>
      <c r="M36" s="119">
        <f t="shared" si="19"/>
        <v>1558.0833619999999</v>
      </c>
      <c r="N36" s="191"/>
      <c r="O36" s="125">
        <v>106</v>
      </c>
      <c r="P36" s="125">
        <v>12.176976</v>
      </c>
      <c r="Q36" s="119">
        <f t="shared" si="20"/>
        <v>1290.759456</v>
      </c>
      <c r="R36" s="191"/>
      <c r="S36" s="125"/>
      <c r="T36" s="125"/>
      <c r="U36" s="119">
        <f t="shared" si="21"/>
        <v>0</v>
      </c>
      <c r="V36" s="191"/>
      <c r="W36" s="125">
        <v>122</v>
      </c>
      <c r="X36" s="125">
        <v>18.775576000000001</v>
      </c>
      <c r="Y36" s="119">
        <f t="shared" si="22"/>
        <v>2290.6202720000001</v>
      </c>
    </row>
    <row r="37" spans="1:25" s="92" customFormat="1" x14ac:dyDescent="0.25">
      <c r="A37" s="90">
        <v>7</v>
      </c>
      <c r="B37" s="90" t="s">
        <v>25</v>
      </c>
      <c r="C37" s="100"/>
      <c r="D37" s="100"/>
      <c r="E37" s="91">
        <f t="shared" si="17"/>
        <v>0</v>
      </c>
      <c r="F37" s="191"/>
      <c r="G37" s="100">
        <v>186</v>
      </c>
      <c r="H37" s="100">
        <v>20.686366</v>
      </c>
      <c r="I37" s="91">
        <f t="shared" si="18"/>
        <v>3847.664076</v>
      </c>
      <c r="J37" s="191"/>
      <c r="K37" s="100">
        <v>167</v>
      </c>
      <c r="L37" s="100">
        <v>21.804808999999999</v>
      </c>
      <c r="M37" s="91">
        <f t="shared" si="19"/>
        <v>3641.4031029999996</v>
      </c>
      <c r="N37" s="191"/>
      <c r="O37" s="100">
        <v>186</v>
      </c>
      <c r="P37" s="100">
        <v>22.031078999999998</v>
      </c>
      <c r="Q37" s="91">
        <f t="shared" si="20"/>
        <v>4097.780694</v>
      </c>
      <c r="R37" s="191"/>
      <c r="S37" s="100"/>
      <c r="T37" s="100"/>
      <c r="U37" s="91">
        <f t="shared" si="21"/>
        <v>0</v>
      </c>
      <c r="V37" s="191"/>
      <c r="W37" s="100">
        <v>165</v>
      </c>
      <c r="X37" s="100">
        <v>48.426873999999998</v>
      </c>
      <c r="Y37" s="91">
        <f t="shared" si="22"/>
        <v>7990.4342099999994</v>
      </c>
    </row>
    <row r="38" spans="1:25" s="120" customFormat="1" x14ac:dyDescent="0.25">
      <c r="A38" s="118">
        <v>8</v>
      </c>
      <c r="B38" s="118" t="s">
        <v>26</v>
      </c>
      <c r="C38" s="126"/>
      <c r="D38" s="126"/>
      <c r="E38" s="119">
        <f t="shared" si="17"/>
        <v>0</v>
      </c>
      <c r="F38" s="191"/>
      <c r="G38" s="126">
        <v>139</v>
      </c>
      <c r="H38" s="126">
        <v>7.1452910000000003</v>
      </c>
      <c r="I38" s="119">
        <f t="shared" si="18"/>
        <v>993.19544900000005</v>
      </c>
      <c r="J38" s="191"/>
      <c r="K38" s="126">
        <v>143</v>
      </c>
      <c r="L38" s="126">
        <v>8.5226690000000005</v>
      </c>
      <c r="M38" s="119">
        <f t="shared" si="19"/>
        <v>1218.741667</v>
      </c>
      <c r="N38" s="191"/>
      <c r="O38" s="126">
        <v>134</v>
      </c>
      <c r="P38" s="126">
        <v>7.117</v>
      </c>
      <c r="Q38" s="119">
        <f t="shared" si="20"/>
        <v>953.678</v>
      </c>
      <c r="R38" s="191"/>
      <c r="S38" s="126"/>
      <c r="T38" s="126"/>
      <c r="U38" s="119">
        <f t="shared" si="21"/>
        <v>0</v>
      </c>
      <c r="V38" s="191"/>
      <c r="W38" s="126">
        <v>123</v>
      </c>
      <c r="X38" s="126">
        <v>13.56579</v>
      </c>
      <c r="Y38" s="119">
        <f t="shared" si="22"/>
        <v>1668.5921699999999</v>
      </c>
    </row>
    <row r="39" spans="1:25" x14ac:dyDescent="0.25">
      <c r="A39" s="5">
        <v>9</v>
      </c>
      <c r="B39" s="5" t="s">
        <v>27</v>
      </c>
      <c r="C39" s="100"/>
      <c r="D39" s="100"/>
      <c r="E39" s="77">
        <f t="shared" si="17"/>
        <v>0</v>
      </c>
      <c r="F39" s="191"/>
      <c r="G39" s="100">
        <v>163</v>
      </c>
      <c r="H39" s="100">
        <v>12.274848</v>
      </c>
      <c r="I39" s="77">
        <f t="shared" si="18"/>
        <v>2000.8002240000001</v>
      </c>
      <c r="J39" s="191"/>
      <c r="K39" s="100">
        <v>167</v>
      </c>
      <c r="L39" s="100">
        <v>12.599804000000001</v>
      </c>
      <c r="M39" s="77">
        <f t="shared" si="19"/>
        <v>2104.1672680000001</v>
      </c>
      <c r="N39" s="191"/>
      <c r="O39" s="100">
        <v>132</v>
      </c>
      <c r="P39" s="100">
        <v>12.255068</v>
      </c>
      <c r="Q39" s="77">
        <f t="shared" si="20"/>
        <v>1617.6689759999999</v>
      </c>
      <c r="R39" s="191"/>
      <c r="S39" s="100"/>
      <c r="T39" s="100"/>
      <c r="U39" s="77">
        <f t="shared" si="21"/>
        <v>0</v>
      </c>
      <c r="V39" s="191"/>
      <c r="W39" s="100">
        <v>183</v>
      </c>
      <c r="X39" s="100">
        <v>11.713663</v>
      </c>
      <c r="Y39" s="77">
        <f t="shared" si="22"/>
        <v>2143.6003289999999</v>
      </c>
    </row>
    <row r="40" spans="1:25" s="120" customFormat="1" x14ac:dyDescent="0.25">
      <c r="A40" s="118">
        <v>10</v>
      </c>
      <c r="B40" s="118" t="s">
        <v>28</v>
      </c>
      <c r="C40" s="126"/>
      <c r="D40" s="126"/>
      <c r="E40" s="119">
        <f t="shared" si="17"/>
        <v>0</v>
      </c>
      <c r="F40" s="191"/>
      <c r="G40" s="126">
        <v>113</v>
      </c>
      <c r="H40" s="126">
        <v>11.03</v>
      </c>
      <c r="I40" s="119">
        <f t="shared" si="18"/>
        <v>1246.3899999999999</v>
      </c>
      <c r="J40" s="191"/>
      <c r="K40" s="126">
        <v>121</v>
      </c>
      <c r="L40" s="126">
        <v>12.599804000000001</v>
      </c>
      <c r="M40" s="119">
        <f t="shared" si="19"/>
        <v>1524.576284</v>
      </c>
      <c r="N40" s="191"/>
      <c r="O40" s="126">
        <v>103</v>
      </c>
      <c r="P40" s="126">
        <v>12.18</v>
      </c>
      <c r="Q40" s="119">
        <f t="shared" si="20"/>
        <v>1254.54</v>
      </c>
      <c r="R40" s="191"/>
      <c r="S40" s="126"/>
      <c r="T40" s="126"/>
      <c r="U40" s="119">
        <f t="shared" si="21"/>
        <v>0</v>
      </c>
      <c r="V40" s="191"/>
      <c r="W40" s="126">
        <v>124</v>
      </c>
      <c r="X40" s="126">
        <v>16.323270999999998</v>
      </c>
      <c r="Y40" s="119">
        <f t="shared" si="22"/>
        <v>2024.0856039999999</v>
      </c>
    </row>
    <row r="41" spans="1:25" s="92" customFormat="1" x14ac:dyDescent="0.25">
      <c r="A41" s="90">
        <v>11</v>
      </c>
      <c r="B41" s="90" t="s">
        <v>25</v>
      </c>
      <c r="C41" s="100"/>
      <c r="D41" s="100"/>
      <c r="E41" s="91">
        <f t="shared" si="17"/>
        <v>0</v>
      </c>
      <c r="F41" s="191"/>
      <c r="G41" s="100">
        <v>181</v>
      </c>
      <c r="H41" s="100">
        <v>19.948747000000001</v>
      </c>
      <c r="I41" s="91">
        <f t="shared" si="18"/>
        <v>3610.723207</v>
      </c>
      <c r="J41" s="191"/>
      <c r="K41" s="100">
        <v>167</v>
      </c>
      <c r="L41" s="100">
        <v>20.907366</v>
      </c>
      <c r="M41" s="91">
        <f t="shared" si="19"/>
        <v>3491.5301220000001</v>
      </c>
      <c r="N41" s="191"/>
      <c r="O41" s="100">
        <v>188</v>
      </c>
      <c r="P41" s="100">
        <v>20.933318</v>
      </c>
      <c r="Q41" s="91">
        <f t="shared" si="20"/>
        <v>3935.463784</v>
      </c>
      <c r="R41" s="191"/>
      <c r="S41" s="100"/>
      <c r="T41" s="100"/>
      <c r="U41" s="91">
        <f t="shared" si="21"/>
        <v>0</v>
      </c>
      <c r="V41" s="191"/>
      <c r="W41" s="100">
        <v>185</v>
      </c>
      <c r="X41" s="100">
        <v>44.906615000000002</v>
      </c>
      <c r="Y41" s="91">
        <f t="shared" si="22"/>
        <v>8307.7237750000004</v>
      </c>
    </row>
    <row r="42" spans="1:25" s="120" customFormat="1" x14ac:dyDescent="0.25">
      <c r="A42" s="118">
        <v>12</v>
      </c>
      <c r="B42" s="118" t="s">
        <v>26</v>
      </c>
      <c r="C42" s="126"/>
      <c r="D42" s="126"/>
      <c r="E42" s="119">
        <f t="shared" si="17"/>
        <v>0</v>
      </c>
      <c r="F42" s="191"/>
      <c r="G42" s="126">
        <v>143</v>
      </c>
      <c r="H42" s="126">
        <v>7.575024</v>
      </c>
      <c r="I42" s="119">
        <f t="shared" si="18"/>
        <v>1083.2284319999999</v>
      </c>
      <c r="J42" s="191"/>
      <c r="K42" s="126">
        <v>143</v>
      </c>
      <c r="L42" s="126">
        <v>8.5894259999999996</v>
      </c>
      <c r="M42" s="119">
        <f t="shared" si="19"/>
        <v>1228.287918</v>
      </c>
      <c r="N42" s="191"/>
      <c r="O42" s="126">
        <v>137</v>
      </c>
      <c r="P42" s="126">
        <v>7.3650900000000004</v>
      </c>
      <c r="Q42" s="119">
        <f t="shared" si="20"/>
        <v>1009.01733</v>
      </c>
      <c r="R42" s="191"/>
      <c r="S42" s="126"/>
      <c r="T42" s="126"/>
      <c r="U42" s="119">
        <f t="shared" si="21"/>
        <v>0</v>
      </c>
      <c r="V42" s="191"/>
      <c r="W42" s="126">
        <v>145</v>
      </c>
      <c r="X42" s="126">
        <v>10.379155000000001</v>
      </c>
      <c r="Y42" s="119">
        <f t="shared" si="22"/>
        <v>1504.9774750000001</v>
      </c>
    </row>
    <row r="43" spans="1:25" x14ac:dyDescent="0.25">
      <c r="A43" s="5">
        <v>13</v>
      </c>
      <c r="B43" s="5" t="s">
        <v>27</v>
      </c>
      <c r="C43" s="100"/>
      <c r="D43" s="100"/>
      <c r="E43" s="77">
        <f t="shared" si="17"/>
        <v>0</v>
      </c>
      <c r="F43" s="191"/>
      <c r="G43" s="100">
        <v>160</v>
      </c>
      <c r="H43" s="100">
        <v>12.519359</v>
      </c>
      <c r="I43" s="77">
        <f t="shared" si="18"/>
        <v>2003.09744</v>
      </c>
      <c r="J43" s="191"/>
      <c r="K43" s="100">
        <v>164</v>
      </c>
      <c r="L43" s="100">
        <v>12.80608</v>
      </c>
      <c r="M43" s="77">
        <f t="shared" si="19"/>
        <v>2100.1971199999998</v>
      </c>
      <c r="N43" s="191"/>
      <c r="O43" s="100">
        <v>165</v>
      </c>
      <c r="P43" s="100">
        <v>12.569234</v>
      </c>
      <c r="Q43" s="77">
        <f t="shared" si="20"/>
        <v>2073.9236099999998</v>
      </c>
      <c r="R43" s="191"/>
      <c r="S43" s="100"/>
      <c r="T43" s="100"/>
      <c r="U43" s="77">
        <f t="shared" si="21"/>
        <v>0</v>
      </c>
      <c r="V43" s="191"/>
      <c r="W43" s="100">
        <v>159</v>
      </c>
      <c r="X43" s="100">
        <v>12.572606</v>
      </c>
      <c r="Y43" s="77">
        <f t="shared" si="22"/>
        <v>1999.0443540000001</v>
      </c>
    </row>
    <row r="44" spans="1:25" x14ac:dyDescent="0.25">
      <c r="A44" s="5">
        <v>14</v>
      </c>
      <c r="B44" s="5" t="s">
        <v>29</v>
      </c>
      <c r="C44" s="100"/>
      <c r="D44" s="100"/>
      <c r="E44" s="77">
        <f t="shared" si="17"/>
        <v>0</v>
      </c>
      <c r="F44" s="191"/>
      <c r="G44" s="100">
        <v>202</v>
      </c>
      <c r="H44" s="100">
        <v>8.0393969999999992</v>
      </c>
      <c r="I44" s="77">
        <f t="shared" si="18"/>
        <v>1623.9581939999998</v>
      </c>
      <c r="J44" s="191"/>
      <c r="K44" s="100">
        <v>204</v>
      </c>
      <c r="L44" s="100">
        <v>8.0224240000000009</v>
      </c>
      <c r="M44" s="77">
        <f t="shared" si="19"/>
        <v>1636.5744960000002</v>
      </c>
      <c r="N44" s="191"/>
      <c r="O44" s="100">
        <v>202</v>
      </c>
      <c r="P44" s="100">
        <v>8.3173110000000001</v>
      </c>
      <c r="Q44" s="77">
        <f t="shared" si="20"/>
        <v>1680.096822</v>
      </c>
      <c r="R44" s="191"/>
      <c r="S44" s="100"/>
      <c r="T44" s="100"/>
      <c r="U44" s="77">
        <f t="shared" si="21"/>
        <v>0</v>
      </c>
      <c r="V44" s="191"/>
      <c r="W44" s="100">
        <v>188</v>
      </c>
      <c r="X44" s="100">
        <v>8.6073439999999994</v>
      </c>
      <c r="Y44" s="77">
        <f t="shared" si="22"/>
        <v>1618.180672</v>
      </c>
    </row>
    <row r="45" spans="1:25" x14ac:dyDescent="0.25">
      <c r="A45" s="5">
        <v>15</v>
      </c>
      <c r="B45" s="5" t="s">
        <v>60</v>
      </c>
      <c r="C45" s="78"/>
      <c r="D45" s="78"/>
      <c r="E45" s="77"/>
      <c r="F45" s="191"/>
      <c r="G45" s="78"/>
      <c r="H45" s="78"/>
      <c r="I45" s="77"/>
      <c r="J45" s="191"/>
      <c r="K45" s="78"/>
      <c r="L45" s="78"/>
      <c r="M45" s="77"/>
      <c r="N45" s="191"/>
      <c r="O45" s="78"/>
      <c r="P45" s="78"/>
      <c r="Q45" s="77"/>
      <c r="R45" s="191"/>
      <c r="S45" s="78"/>
      <c r="T45" s="78"/>
      <c r="U45" s="77"/>
      <c r="V45" s="191"/>
      <c r="W45" s="78"/>
      <c r="X45" s="78"/>
      <c r="Y45" s="77"/>
    </row>
    <row r="46" spans="1:25" x14ac:dyDescent="0.25">
      <c r="A46" s="79"/>
      <c r="B46" s="5" t="s">
        <v>56</v>
      </c>
      <c r="C46" s="173">
        <f>SUM(C31:C44)</f>
        <v>0</v>
      </c>
      <c r="D46" s="174"/>
      <c r="E46" s="175"/>
      <c r="F46" s="191"/>
      <c r="G46" s="184">
        <f>SUM(G31:G44)</f>
        <v>2285</v>
      </c>
      <c r="H46" s="185"/>
      <c r="I46" s="186"/>
      <c r="J46" s="191"/>
      <c r="K46" s="184">
        <f>SUM(K31:K44)</f>
        <v>2301</v>
      </c>
      <c r="L46" s="185"/>
      <c r="M46" s="186"/>
      <c r="N46" s="191"/>
      <c r="O46" s="184">
        <f>SUM(O31:O44)</f>
        <v>2255</v>
      </c>
      <c r="P46" s="185"/>
      <c r="Q46" s="186"/>
      <c r="R46" s="191"/>
      <c r="S46" s="184">
        <f>SUM(S31:S44)</f>
        <v>0</v>
      </c>
      <c r="T46" s="185"/>
      <c r="U46" s="186"/>
      <c r="V46" s="191"/>
      <c r="W46" s="184">
        <f>SUM(W31:W44)</f>
        <v>2263</v>
      </c>
      <c r="X46" s="185"/>
      <c r="Y46" s="186"/>
    </row>
    <row r="47" spans="1:25" x14ac:dyDescent="0.25">
      <c r="A47" s="79"/>
      <c r="B47" s="5" t="s">
        <v>57</v>
      </c>
      <c r="C47" s="173" t="e">
        <f>SUM(E31:E44)/C46</f>
        <v>#DIV/0!</v>
      </c>
      <c r="D47" s="174"/>
      <c r="E47" s="175"/>
      <c r="F47" s="192"/>
      <c r="G47" s="184">
        <f>SUM(I31:I44)/G46</f>
        <v>12.370749862144418</v>
      </c>
      <c r="H47" s="185"/>
      <c r="I47" s="186"/>
      <c r="J47" s="192"/>
      <c r="K47" s="184">
        <f>SUM(M31:M44)/K46</f>
        <v>12.815265888309431</v>
      </c>
      <c r="L47" s="185"/>
      <c r="M47" s="186"/>
      <c r="N47" s="192"/>
      <c r="O47" s="184">
        <f>SUM(Q31:Q44)/O46</f>
        <v>12.789223733924613</v>
      </c>
      <c r="P47" s="185"/>
      <c r="Q47" s="186"/>
      <c r="R47" s="192"/>
      <c r="S47" s="184" t="e">
        <f>SUM(U31:U44)/S46</f>
        <v>#DIV/0!</v>
      </c>
      <c r="T47" s="185"/>
      <c r="U47" s="186"/>
      <c r="V47" s="192"/>
      <c r="W47" s="184">
        <f>SUM(Y31:Y44)/W46</f>
        <v>20.092846305788779</v>
      </c>
      <c r="X47" s="185"/>
      <c r="Y47" s="186"/>
    </row>
    <row r="48" spans="1:25" x14ac:dyDescent="0.25">
      <c r="D48" t="s">
        <v>61</v>
      </c>
      <c r="E48" t="s">
        <v>62</v>
      </c>
      <c r="H48" t="s">
        <v>61</v>
      </c>
      <c r="I48" t="s">
        <v>62</v>
      </c>
      <c r="L48" t="s">
        <v>61</v>
      </c>
      <c r="M48" t="s">
        <v>62</v>
      </c>
      <c r="P48" t="s">
        <v>61</v>
      </c>
      <c r="Q48" t="s">
        <v>62</v>
      </c>
      <c r="T48" t="s">
        <v>61</v>
      </c>
      <c r="U48" t="s">
        <v>62</v>
      </c>
      <c r="X48" t="s">
        <v>61</v>
      </c>
      <c r="Y48" t="s">
        <v>62</v>
      </c>
    </row>
    <row r="49" spans="1:29" x14ac:dyDescent="0.25">
      <c r="B49" s="5" t="s">
        <v>60</v>
      </c>
      <c r="C49" s="78"/>
      <c r="D49" s="78"/>
      <c r="E49" s="77"/>
      <c r="G49" s="78">
        <v>22747</v>
      </c>
      <c r="H49" s="78"/>
      <c r="I49" s="77">
        <v>0.21035799999999999</v>
      </c>
      <c r="K49" s="78"/>
      <c r="L49" s="78"/>
      <c r="M49" s="77"/>
      <c r="O49" s="78"/>
      <c r="P49" s="78"/>
      <c r="Q49" s="77"/>
      <c r="S49" s="78">
        <v>19452</v>
      </c>
      <c r="T49" s="78">
        <v>2.6789E-2</v>
      </c>
      <c r="U49" s="77">
        <f>-NY912</f>
        <v>0</v>
      </c>
      <c r="W49" s="78"/>
      <c r="X49" s="78"/>
      <c r="Y49" s="77"/>
    </row>
    <row r="50" spans="1:29" x14ac:dyDescent="0.25">
      <c r="G50" t="s">
        <v>206</v>
      </c>
      <c r="T50" t="s">
        <v>66</v>
      </c>
    </row>
    <row r="51" spans="1:29" x14ac:dyDescent="0.25">
      <c r="G51">
        <v>206801</v>
      </c>
    </row>
    <row r="52" spans="1:29" x14ac:dyDescent="0.25">
      <c r="G52">
        <v>71</v>
      </c>
      <c r="H52">
        <v>3.60398</v>
      </c>
    </row>
    <row r="57" spans="1:29" x14ac:dyDescent="0.25">
      <c r="A57" s="176" t="s">
        <v>59</v>
      </c>
      <c r="B57" s="176"/>
      <c r="C57" s="176" t="s">
        <v>97</v>
      </c>
      <c r="D57" s="176"/>
      <c r="E57" s="176"/>
      <c r="F57" s="190"/>
      <c r="G57" s="176" t="s">
        <v>217</v>
      </c>
      <c r="H57" s="176"/>
      <c r="I57" s="176"/>
      <c r="J57" s="190"/>
      <c r="K57" s="176" t="s">
        <v>99</v>
      </c>
      <c r="L57" s="176"/>
      <c r="M57" s="176"/>
      <c r="O57" s="176" t="s">
        <v>202</v>
      </c>
      <c r="P57" s="176"/>
      <c r="Q57" s="176"/>
      <c r="S57" s="176" t="s">
        <v>218</v>
      </c>
      <c r="T57" s="176"/>
      <c r="U57" s="176"/>
      <c r="W57" s="187" t="s">
        <v>76</v>
      </c>
      <c r="X57" s="189"/>
      <c r="Y57" s="188"/>
    </row>
    <row r="58" spans="1:29" x14ac:dyDescent="0.25">
      <c r="A58" s="176"/>
      <c r="B58" s="176"/>
      <c r="C58" s="176"/>
      <c r="D58" s="176"/>
      <c r="E58" s="176"/>
      <c r="F58" s="191"/>
      <c r="G58" s="176"/>
      <c r="H58" s="176"/>
      <c r="I58" s="176"/>
      <c r="J58" s="191"/>
      <c r="K58" s="176"/>
      <c r="L58" s="176"/>
      <c r="M58" s="176"/>
      <c r="O58" s="176"/>
      <c r="P58" s="176"/>
      <c r="Q58" s="176"/>
      <c r="S58" s="176"/>
      <c r="T58" s="176"/>
      <c r="U58" s="176"/>
      <c r="W58" s="187">
        <f>BLE!D6</f>
        <v>2</v>
      </c>
      <c r="X58" s="189"/>
      <c r="Y58" s="188"/>
    </row>
    <row r="59" spans="1:29" ht="45" x14ac:dyDescent="0.25">
      <c r="A59" s="5"/>
      <c r="B59" s="5" t="s">
        <v>19</v>
      </c>
      <c r="C59" s="77" t="s">
        <v>53</v>
      </c>
      <c r="D59" s="77" t="s">
        <v>54</v>
      </c>
      <c r="E59" s="77" t="s">
        <v>55</v>
      </c>
      <c r="F59" s="191"/>
      <c r="G59" s="77" t="s">
        <v>53</v>
      </c>
      <c r="H59" s="77" t="s">
        <v>54</v>
      </c>
      <c r="I59" s="77" t="s">
        <v>55</v>
      </c>
      <c r="J59" s="191"/>
      <c r="K59" s="77" t="s">
        <v>53</v>
      </c>
      <c r="L59" s="77" t="s">
        <v>54</v>
      </c>
      <c r="M59" s="77" t="s">
        <v>55</v>
      </c>
      <c r="O59" s="77" t="s">
        <v>53</v>
      </c>
      <c r="P59" s="77" t="s">
        <v>54</v>
      </c>
      <c r="Q59" s="77" t="s">
        <v>55</v>
      </c>
      <c r="S59" s="77" t="s">
        <v>53</v>
      </c>
      <c r="T59" s="77" t="s">
        <v>54</v>
      </c>
      <c r="U59" s="77" t="s">
        <v>55</v>
      </c>
      <c r="W59" s="77" t="s">
        <v>53</v>
      </c>
      <c r="X59" s="77" t="s">
        <v>54</v>
      </c>
      <c r="Y59" s="77" t="s">
        <v>55</v>
      </c>
    </row>
    <row r="60" spans="1:29" x14ac:dyDescent="0.25">
      <c r="A60" s="5">
        <v>1</v>
      </c>
      <c r="B60" s="5" t="s">
        <v>23</v>
      </c>
      <c r="C60" s="78"/>
      <c r="D60" s="78"/>
      <c r="E60" s="77">
        <f>C60*D60</f>
        <v>0</v>
      </c>
      <c r="F60" s="191"/>
      <c r="G60" s="78">
        <v>287</v>
      </c>
      <c r="H60" s="78">
        <v>8.7358799999999999</v>
      </c>
      <c r="I60" s="77">
        <f>G60*H60</f>
        <v>2507.1975600000001</v>
      </c>
      <c r="J60" s="191"/>
      <c r="K60" s="78"/>
      <c r="L60" s="78"/>
      <c r="M60" s="77">
        <f>K60*L60</f>
        <v>0</v>
      </c>
      <c r="O60" s="78">
        <v>281</v>
      </c>
      <c r="P60" s="78">
        <v>8.2361129999999996</v>
      </c>
      <c r="Q60" s="77">
        <f t="shared" ref="Q60:Q73" si="23">O60*P60</f>
        <v>2314.347753</v>
      </c>
      <c r="S60" s="78">
        <v>288</v>
      </c>
      <c r="T60" s="78">
        <v>8.8991749999999996</v>
      </c>
      <c r="U60" s="77">
        <f t="shared" ref="U60:U73" si="24">S60*T60</f>
        <v>2562.9623999999999</v>
      </c>
      <c r="W60" s="85">
        <f>ROUNDUP(AVERAGE(G60,K60,C60,O60,S60),0)</f>
        <v>286</v>
      </c>
      <c r="X60" s="85">
        <f>((C60*D60)+(G60*H60)+(K60*L60))/(C60+G60+K60)</f>
        <v>8.7358799999999999</v>
      </c>
      <c r="Y60" s="77">
        <f>W60*X60</f>
        <v>2498.4616799999999</v>
      </c>
      <c r="AA60" t="s">
        <v>75</v>
      </c>
      <c r="AB60">
        <v>120</v>
      </c>
    </row>
    <row r="61" spans="1:29" x14ac:dyDescent="0.25">
      <c r="A61" s="5">
        <v>2</v>
      </c>
      <c r="B61" s="5" t="s">
        <v>24</v>
      </c>
      <c r="C61" s="78"/>
      <c r="D61" s="78"/>
      <c r="E61" s="77">
        <f t="shared" ref="E61:E73" si="25">C61*D61</f>
        <v>0</v>
      </c>
      <c r="F61" s="191"/>
      <c r="G61" s="78">
        <v>112</v>
      </c>
      <c r="H61" s="78">
        <v>12.05776</v>
      </c>
      <c r="I61" s="77">
        <f t="shared" ref="I61:I73" si="26">G61*H61</f>
        <v>1350.46912</v>
      </c>
      <c r="J61" s="191"/>
      <c r="K61" s="78"/>
      <c r="L61" s="78"/>
      <c r="M61" s="77">
        <f t="shared" ref="M61:M73" si="27">K61*L61</f>
        <v>0</v>
      </c>
      <c r="O61" s="78">
        <v>117</v>
      </c>
      <c r="P61" s="78">
        <v>10.176764</v>
      </c>
      <c r="Q61" s="77">
        <f t="shared" si="23"/>
        <v>1190.681388</v>
      </c>
      <c r="S61" s="78">
        <v>112</v>
      </c>
      <c r="T61" s="78">
        <v>19.584323000000001</v>
      </c>
      <c r="U61" s="77">
        <f t="shared" si="24"/>
        <v>2193.444176</v>
      </c>
      <c r="W61" s="85">
        <f>AVERAGE(C61,G61,K61)</f>
        <v>112</v>
      </c>
      <c r="X61" s="96">
        <f>VLOOKUP(W58,AA68:AJ78,2,FALSE)</f>
        <v>10.9</v>
      </c>
      <c r="Y61" s="77">
        <f t="shared" ref="Y61:Y73" si="28">W61*X61</f>
        <v>1220.8</v>
      </c>
      <c r="AA61" s="86" t="s">
        <v>85</v>
      </c>
      <c r="AB61">
        <f>Y78</f>
        <v>3.5530000000000002E-3</v>
      </c>
      <c r="AC61" t="s">
        <v>88</v>
      </c>
    </row>
    <row r="62" spans="1:29" s="97" customFormat="1" x14ac:dyDescent="0.25">
      <c r="A62" s="95">
        <v>3</v>
      </c>
      <c r="B62" s="95" t="s">
        <v>25</v>
      </c>
      <c r="C62" s="96"/>
      <c r="D62" s="96"/>
      <c r="E62" s="96">
        <f t="shared" si="25"/>
        <v>0</v>
      </c>
      <c r="F62" s="191"/>
      <c r="G62" s="96">
        <v>182</v>
      </c>
      <c r="H62" s="96">
        <v>25.331002000000002</v>
      </c>
      <c r="I62" s="96">
        <f t="shared" si="26"/>
        <v>4610.2423640000006</v>
      </c>
      <c r="J62" s="191"/>
      <c r="K62" s="96"/>
      <c r="L62" s="96"/>
      <c r="M62" s="96">
        <f t="shared" si="27"/>
        <v>0</v>
      </c>
      <c r="O62" s="96">
        <v>193</v>
      </c>
      <c r="P62" s="96">
        <v>19.290320999999999</v>
      </c>
      <c r="Q62" s="96">
        <f t="shared" si="23"/>
        <v>3723.0319529999997</v>
      </c>
      <c r="S62" s="96">
        <v>170</v>
      </c>
      <c r="T62" s="96">
        <v>54.589064</v>
      </c>
      <c r="U62" s="96">
        <f t="shared" si="24"/>
        <v>9280.1408800000008</v>
      </c>
      <c r="W62" s="96">
        <f>('CC23XX Power Computation Sheet'!B6*8)+AB60</f>
        <v>168</v>
      </c>
      <c r="X62" s="96">
        <f>VLOOKUP(W58,AA68:AJ78,3,FALSE)</f>
        <v>21.257753000000001</v>
      </c>
      <c r="Y62" s="96">
        <f t="shared" si="28"/>
        <v>3571.3025040000002</v>
      </c>
    </row>
    <row r="63" spans="1:29" x14ac:dyDescent="0.25">
      <c r="A63" s="5">
        <v>4</v>
      </c>
      <c r="B63" s="5" t="s">
        <v>26</v>
      </c>
      <c r="C63" s="78"/>
      <c r="D63" s="78"/>
      <c r="E63" s="77">
        <f t="shared" si="25"/>
        <v>0</v>
      </c>
      <c r="F63" s="191"/>
      <c r="G63" s="119">
        <v>142</v>
      </c>
      <c r="H63" s="119">
        <v>8.1239899999999992</v>
      </c>
      <c r="I63" s="77">
        <f t="shared" si="26"/>
        <v>1153.6065799999999</v>
      </c>
      <c r="J63" s="191"/>
      <c r="K63" s="78"/>
      <c r="L63" s="78"/>
      <c r="M63" s="77">
        <f t="shared" si="27"/>
        <v>0</v>
      </c>
      <c r="O63" s="85">
        <v>140</v>
      </c>
      <c r="P63" s="85">
        <v>7.3</v>
      </c>
      <c r="Q63" s="85">
        <f t="shared" si="23"/>
        <v>1022</v>
      </c>
      <c r="S63" s="85">
        <v>150</v>
      </c>
      <c r="T63" s="85">
        <v>10.865952999999999</v>
      </c>
      <c r="U63" s="85">
        <f t="shared" si="24"/>
        <v>1629.8929499999999</v>
      </c>
      <c r="W63" s="85">
        <f>ROUNDUP(AVERAGE(G63,K63,C63,O63,S63),0)</f>
        <v>144</v>
      </c>
      <c r="X63" s="96">
        <f>VLOOKUP(W58,AA68:AJ78,4,FALSE)</f>
        <v>7.6</v>
      </c>
      <c r="Y63" s="85">
        <f t="shared" si="28"/>
        <v>1094.3999999999999</v>
      </c>
    </row>
    <row r="64" spans="1:29" x14ac:dyDescent="0.25">
      <c r="A64" s="5">
        <v>5</v>
      </c>
      <c r="B64" s="5" t="s">
        <v>27</v>
      </c>
      <c r="C64" s="78"/>
      <c r="D64" s="78"/>
      <c r="E64" s="77">
        <f t="shared" si="25"/>
        <v>0</v>
      </c>
      <c r="F64" s="191"/>
      <c r="G64" s="78">
        <v>164</v>
      </c>
      <c r="H64" s="78">
        <v>12.31338</v>
      </c>
      <c r="I64" s="77">
        <f t="shared" si="26"/>
        <v>2019.3943200000001</v>
      </c>
      <c r="J64" s="191"/>
      <c r="K64" s="78"/>
      <c r="L64" s="78"/>
      <c r="M64" s="77">
        <f t="shared" si="27"/>
        <v>0</v>
      </c>
      <c r="O64" s="78">
        <v>161</v>
      </c>
      <c r="P64" s="78">
        <v>12.302398</v>
      </c>
      <c r="Q64" s="77">
        <f t="shared" si="23"/>
        <v>1980.686078</v>
      </c>
      <c r="S64" s="78">
        <v>163</v>
      </c>
      <c r="T64" s="78">
        <v>12.207031000000001</v>
      </c>
      <c r="U64" s="77">
        <f t="shared" si="24"/>
        <v>1989.7460530000001</v>
      </c>
      <c r="W64" s="85">
        <f t="shared" ref="W64:W67" si="29">ROUNDUP(AVERAGE(G64,K64,C64,O64,S64),0)</f>
        <v>163</v>
      </c>
      <c r="X64" s="85">
        <f>((C64*D64)+(G64*H64)+(K64*L64))/(C64+G64+K64)</f>
        <v>12.31338</v>
      </c>
      <c r="Y64" s="77">
        <f t="shared" si="28"/>
        <v>2007.0809400000001</v>
      </c>
    </row>
    <row r="65" spans="1:36" x14ac:dyDescent="0.25">
      <c r="A65" s="5">
        <v>6</v>
      </c>
      <c r="B65" s="5" t="s">
        <v>28</v>
      </c>
      <c r="C65" s="78"/>
      <c r="D65" s="78"/>
      <c r="E65" s="77">
        <f t="shared" si="25"/>
        <v>0</v>
      </c>
      <c r="F65" s="191"/>
      <c r="G65" s="119">
        <v>125</v>
      </c>
      <c r="H65" s="119">
        <v>13.136799999999999</v>
      </c>
      <c r="I65" s="77">
        <f t="shared" si="26"/>
        <v>1642.1</v>
      </c>
      <c r="J65" s="191"/>
      <c r="K65" s="78"/>
      <c r="L65" s="78"/>
      <c r="M65" s="77">
        <f t="shared" si="27"/>
        <v>0</v>
      </c>
      <c r="O65" s="85">
        <v>114</v>
      </c>
      <c r="P65" s="85">
        <v>11.311406</v>
      </c>
      <c r="Q65" s="85">
        <f t="shared" si="23"/>
        <v>1289.500284</v>
      </c>
      <c r="S65" s="85">
        <v>117</v>
      </c>
      <c r="T65" s="85">
        <v>16.811157999999999</v>
      </c>
      <c r="U65" s="85">
        <f t="shared" si="24"/>
        <v>1966.9054859999999</v>
      </c>
      <c r="W65" s="85">
        <f t="shared" si="29"/>
        <v>119</v>
      </c>
      <c r="X65" s="96">
        <f>VLOOKUP(W58,AA68:AJ78,5,FALSE)</f>
        <v>11.03</v>
      </c>
      <c r="Y65" s="85">
        <f t="shared" si="28"/>
        <v>1312.57</v>
      </c>
    </row>
    <row r="66" spans="1:36" s="97" customFormat="1" x14ac:dyDescent="0.25">
      <c r="A66" s="95">
        <v>7</v>
      </c>
      <c r="B66" s="95" t="s">
        <v>25</v>
      </c>
      <c r="C66" s="96"/>
      <c r="D66" s="96"/>
      <c r="E66" s="96">
        <f t="shared" si="25"/>
        <v>0</v>
      </c>
      <c r="F66" s="191"/>
      <c r="G66" s="96">
        <v>177</v>
      </c>
      <c r="H66" s="96">
        <v>24.264299999999999</v>
      </c>
      <c r="I66" s="96">
        <f t="shared" si="26"/>
        <v>4294.7811000000002</v>
      </c>
      <c r="J66" s="191"/>
      <c r="K66" s="96"/>
      <c r="L66" s="96"/>
      <c r="M66" s="96">
        <f t="shared" si="27"/>
        <v>0</v>
      </c>
      <c r="O66" s="96">
        <v>186</v>
      </c>
      <c r="P66" s="96">
        <v>18.586943999999999</v>
      </c>
      <c r="Q66" s="96">
        <f t="shared" si="23"/>
        <v>3457.1715839999997</v>
      </c>
      <c r="S66" s="96">
        <v>175</v>
      </c>
      <c r="T66" s="96">
        <v>54.586500000000001</v>
      </c>
      <c r="U66" s="96">
        <f t="shared" si="24"/>
        <v>9552.6375000000007</v>
      </c>
      <c r="W66" s="85">
        <f>('CC23XX Power Computation Sheet'!B6*8)+AB60</f>
        <v>168</v>
      </c>
      <c r="X66" s="96">
        <f>VLOOKUP(W58,AA68:AJ78,6,FALSE)</f>
        <v>21.257753000000001</v>
      </c>
      <c r="Y66" s="96">
        <f t="shared" si="28"/>
        <v>3571.3025040000002</v>
      </c>
      <c r="AA66" s="103" t="s">
        <v>133</v>
      </c>
      <c r="AB66" s="193">
        <v>1</v>
      </c>
      <c r="AC66" s="193"/>
      <c r="AD66" s="193"/>
      <c r="AE66" s="193">
        <v>2</v>
      </c>
      <c r="AF66" s="193"/>
      <c r="AG66" s="193"/>
      <c r="AH66" s="193">
        <v>3</v>
      </c>
      <c r="AI66" s="193"/>
      <c r="AJ66" s="193"/>
    </row>
    <row r="67" spans="1:36" ht="39" x14ac:dyDescent="0.25">
      <c r="A67" s="5">
        <v>8</v>
      </c>
      <c r="B67" s="5" t="s">
        <v>26</v>
      </c>
      <c r="C67" s="78"/>
      <c r="D67" s="78"/>
      <c r="E67" s="77">
        <f t="shared" si="25"/>
        <v>0</v>
      </c>
      <c r="F67" s="191"/>
      <c r="G67" s="119">
        <v>142</v>
      </c>
      <c r="H67" s="119">
        <v>7.7337499999999997</v>
      </c>
      <c r="I67" s="77">
        <f t="shared" si="26"/>
        <v>1098.1924999999999</v>
      </c>
      <c r="J67" s="191"/>
      <c r="K67" s="78"/>
      <c r="L67" s="78"/>
      <c r="M67" s="77">
        <f t="shared" si="27"/>
        <v>0</v>
      </c>
      <c r="O67" s="85">
        <v>142</v>
      </c>
      <c r="P67" s="85">
        <v>7.3787140000000004</v>
      </c>
      <c r="Q67" s="85">
        <f t="shared" si="23"/>
        <v>1047.777388</v>
      </c>
      <c r="S67" s="85">
        <v>142</v>
      </c>
      <c r="T67" s="85">
        <v>10.394392</v>
      </c>
      <c r="U67" s="85">
        <f t="shared" si="24"/>
        <v>1476.0036640000001</v>
      </c>
      <c r="W67" s="85">
        <f t="shared" si="29"/>
        <v>142</v>
      </c>
      <c r="X67" s="96">
        <f>VLOOKUP(W58,AA68:AJ78,7,FALSE)</f>
        <v>7.6</v>
      </c>
      <c r="Y67" s="85">
        <f t="shared" si="28"/>
        <v>1079.2</v>
      </c>
      <c r="AA67" s="101" t="s">
        <v>131</v>
      </c>
      <c r="AB67" s="5" t="s">
        <v>24</v>
      </c>
      <c r="AC67" s="90" t="s">
        <v>25</v>
      </c>
      <c r="AD67" s="84" t="s">
        <v>26</v>
      </c>
      <c r="AE67" s="84" t="s">
        <v>28</v>
      </c>
      <c r="AF67" s="90" t="s">
        <v>25</v>
      </c>
      <c r="AG67" s="84" t="s">
        <v>26</v>
      </c>
      <c r="AH67" s="84" t="s">
        <v>28</v>
      </c>
      <c r="AI67" s="90" t="s">
        <v>25</v>
      </c>
      <c r="AJ67" s="84" t="s">
        <v>26</v>
      </c>
    </row>
    <row r="68" spans="1:36" x14ac:dyDescent="0.25">
      <c r="A68" s="5">
        <v>9</v>
      </c>
      <c r="B68" s="5" t="s">
        <v>27</v>
      </c>
      <c r="C68" s="78"/>
      <c r="D68" s="78"/>
      <c r="E68" s="77">
        <f t="shared" si="25"/>
        <v>0</v>
      </c>
      <c r="F68" s="191"/>
      <c r="G68" s="78">
        <v>164</v>
      </c>
      <c r="H68" s="78">
        <v>12.287948999999999</v>
      </c>
      <c r="I68" s="77">
        <f t="shared" si="26"/>
        <v>2015.2236359999999</v>
      </c>
      <c r="J68" s="191"/>
      <c r="K68" s="78"/>
      <c r="L68" s="78"/>
      <c r="M68" s="77">
        <f t="shared" si="27"/>
        <v>0</v>
      </c>
      <c r="O68" s="78">
        <v>165</v>
      </c>
      <c r="P68" s="78">
        <v>12.478548</v>
      </c>
      <c r="Q68" s="77">
        <f t="shared" si="23"/>
        <v>2058.9604199999999</v>
      </c>
      <c r="S68" s="78">
        <v>173</v>
      </c>
      <c r="T68" s="78">
        <v>12.221563</v>
      </c>
      <c r="U68" s="77">
        <f t="shared" si="24"/>
        <v>2114.3303989999999</v>
      </c>
      <c r="W68" s="85">
        <f>ROUNDUP(AVERAGE(G68,K68,C68,O68,S68),0)</f>
        <v>168</v>
      </c>
      <c r="X68" s="85">
        <f>((C68*D68)+(G68*H68)+(K68*L68))/(C68+G68+K68)</f>
        <v>12.287948999999999</v>
      </c>
      <c r="Y68" s="77">
        <f t="shared" si="28"/>
        <v>2064.3754319999998</v>
      </c>
      <c r="AA68" s="32">
        <v>0</v>
      </c>
      <c r="AB68" s="32">
        <f>P61</f>
        <v>10.176764</v>
      </c>
      <c r="AC68" s="32">
        <f>P62</f>
        <v>19.290320999999999</v>
      </c>
      <c r="AD68" s="32">
        <f>P63</f>
        <v>7.3</v>
      </c>
      <c r="AE68" s="32">
        <f t="shared" ref="AE68:AE78" si="30">AH68</f>
        <v>11.1</v>
      </c>
      <c r="AF68" s="32">
        <f t="shared" ref="AF68:AF78" si="31">AC68</f>
        <v>19.290320999999999</v>
      </c>
      <c r="AG68" s="32">
        <f t="shared" ref="AG68:AG78" si="32">AD68</f>
        <v>7.3</v>
      </c>
      <c r="AH68" s="32">
        <f>P69</f>
        <v>11.1</v>
      </c>
      <c r="AI68" s="32">
        <f t="shared" ref="AI68:AI78" si="33">AF68</f>
        <v>19.290320999999999</v>
      </c>
      <c r="AJ68" s="32">
        <f t="shared" ref="AJ68:AJ78" si="34">AG68</f>
        <v>7.3</v>
      </c>
    </row>
    <row r="69" spans="1:36" x14ac:dyDescent="0.25">
      <c r="A69" s="5">
        <v>10</v>
      </c>
      <c r="B69" s="5" t="s">
        <v>28</v>
      </c>
      <c r="C69" s="78"/>
      <c r="D69" s="78"/>
      <c r="E69" s="77">
        <f t="shared" si="25"/>
        <v>0</v>
      </c>
      <c r="F69" s="191"/>
      <c r="G69" s="119">
        <v>117</v>
      </c>
      <c r="H69" s="119">
        <v>13.691584000000001</v>
      </c>
      <c r="I69" s="77">
        <f t="shared" si="26"/>
        <v>1601.915328</v>
      </c>
      <c r="J69" s="191"/>
      <c r="K69" s="78"/>
      <c r="L69" s="78"/>
      <c r="M69" s="77">
        <f t="shared" si="27"/>
        <v>0</v>
      </c>
      <c r="O69" s="85">
        <v>115</v>
      </c>
      <c r="P69" s="85">
        <v>11.1</v>
      </c>
      <c r="Q69" s="85">
        <f t="shared" si="23"/>
        <v>1276.5</v>
      </c>
      <c r="S69" s="85">
        <v>115</v>
      </c>
      <c r="T69" s="85">
        <v>18.471979999999999</v>
      </c>
      <c r="U69" s="85">
        <f t="shared" si="24"/>
        <v>2124.2776999999996</v>
      </c>
      <c r="W69" s="85">
        <f>ROUNDUP(AVERAGE(G69,K69,C69,O69,S69),0)</f>
        <v>116</v>
      </c>
      <c r="X69" s="96">
        <f>VLOOKUP(W58,AA68:AJ78,8,FALSE)</f>
        <v>11.03</v>
      </c>
      <c r="Y69" s="85">
        <f t="shared" si="28"/>
        <v>1279.48</v>
      </c>
      <c r="AA69" s="32">
        <v>1</v>
      </c>
      <c r="AB69" s="32">
        <f>D140</f>
        <v>10.723922999999999</v>
      </c>
      <c r="AC69" s="32">
        <f>D141</f>
        <v>19.7973</v>
      </c>
      <c r="AD69" s="32">
        <f>D142</f>
        <v>7.4</v>
      </c>
      <c r="AE69" s="32">
        <f t="shared" si="30"/>
        <v>11.1</v>
      </c>
      <c r="AF69" s="32">
        <f t="shared" si="31"/>
        <v>19.7973</v>
      </c>
      <c r="AG69" s="32">
        <f t="shared" si="32"/>
        <v>7.4</v>
      </c>
      <c r="AH69" s="32">
        <f>D148</f>
        <v>11.1</v>
      </c>
      <c r="AI69" s="32">
        <f t="shared" si="33"/>
        <v>19.7973</v>
      </c>
      <c r="AJ69" s="32">
        <f t="shared" si="34"/>
        <v>7.4</v>
      </c>
    </row>
    <row r="70" spans="1:36" s="97" customFormat="1" x14ac:dyDescent="0.25">
      <c r="A70" s="95">
        <v>11</v>
      </c>
      <c r="B70" s="95" t="s">
        <v>25</v>
      </c>
      <c r="C70" s="96"/>
      <c r="D70" s="96"/>
      <c r="E70" s="96">
        <f t="shared" si="25"/>
        <v>0</v>
      </c>
      <c r="F70" s="191"/>
      <c r="G70" s="96">
        <v>179</v>
      </c>
      <c r="H70" s="96">
        <v>22.385207999999999</v>
      </c>
      <c r="I70" s="96">
        <f t="shared" si="26"/>
        <v>4006.9522319999996</v>
      </c>
      <c r="J70" s="191"/>
      <c r="K70" s="96"/>
      <c r="L70" s="96"/>
      <c r="M70" s="96">
        <f t="shared" si="27"/>
        <v>0</v>
      </c>
      <c r="O70" s="96">
        <v>185</v>
      </c>
      <c r="P70" s="96">
        <v>17.543482999999998</v>
      </c>
      <c r="Q70" s="96">
        <f t="shared" si="23"/>
        <v>3245.5443549999995</v>
      </c>
      <c r="S70" s="96">
        <v>181</v>
      </c>
      <c r="T70" s="96">
        <v>53.136612</v>
      </c>
      <c r="U70" s="96">
        <f t="shared" si="24"/>
        <v>9617.726772</v>
      </c>
      <c r="W70" s="85">
        <f>('CC23XX Power Computation Sheet'!B6*8)+AB60</f>
        <v>168</v>
      </c>
      <c r="X70" s="96">
        <f>VLOOKUP(W58,AA68:AJ78,9,FALSE)</f>
        <v>21.257753000000001</v>
      </c>
      <c r="Y70" s="96">
        <f t="shared" si="28"/>
        <v>3571.3025040000002</v>
      </c>
      <c r="AA70" s="32">
        <v>2</v>
      </c>
      <c r="AB70" s="102">
        <f>H32</f>
        <v>10.9</v>
      </c>
      <c r="AC70" s="102">
        <f>H33</f>
        <v>21.257753000000001</v>
      </c>
      <c r="AD70" s="102">
        <f>H34</f>
        <v>7.6</v>
      </c>
      <c r="AE70" s="102">
        <f t="shared" si="30"/>
        <v>11.03</v>
      </c>
      <c r="AF70" s="102">
        <f t="shared" si="31"/>
        <v>21.257753000000001</v>
      </c>
      <c r="AG70" s="102">
        <f t="shared" si="32"/>
        <v>7.6</v>
      </c>
      <c r="AH70" s="102">
        <f>H40</f>
        <v>11.03</v>
      </c>
      <c r="AI70" s="102">
        <f t="shared" si="33"/>
        <v>21.257753000000001</v>
      </c>
      <c r="AJ70" s="102">
        <f t="shared" si="34"/>
        <v>7.6</v>
      </c>
    </row>
    <row r="71" spans="1:36" x14ac:dyDescent="0.25">
      <c r="A71" s="5">
        <v>12</v>
      </c>
      <c r="B71" s="5" t="s">
        <v>26</v>
      </c>
      <c r="C71" s="78"/>
      <c r="D71" s="78"/>
      <c r="E71" s="77">
        <f t="shared" si="25"/>
        <v>0</v>
      </c>
      <c r="F71" s="191"/>
      <c r="G71" s="119">
        <v>132</v>
      </c>
      <c r="H71" s="119">
        <v>7.0228099999999998</v>
      </c>
      <c r="I71" s="77">
        <f t="shared" si="26"/>
        <v>927.01091999999994</v>
      </c>
      <c r="J71" s="191"/>
      <c r="K71" s="78"/>
      <c r="L71" s="78"/>
      <c r="M71" s="77">
        <f t="shared" si="27"/>
        <v>0</v>
      </c>
      <c r="O71" s="85">
        <v>139</v>
      </c>
      <c r="P71" s="85">
        <v>7.402266</v>
      </c>
      <c r="Q71" s="85">
        <f t="shared" si="23"/>
        <v>1028.914974</v>
      </c>
      <c r="S71" s="85">
        <v>135</v>
      </c>
      <c r="T71" s="85">
        <v>8.1162220000000005</v>
      </c>
      <c r="U71" s="85">
        <f t="shared" si="24"/>
        <v>1095.6899700000001</v>
      </c>
      <c r="W71" s="85">
        <f t="shared" ref="W71" si="35">ROUNDUP(AVERAGE(G71,K71,C71,O71,S71),0)</f>
        <v>136</v>
      </c>
      <c r="X71" s="96">
        <f>VLOOKUP(W58,AA68:AJ78,10,FALSE)</f>
        <v>7.6</v>
      </c>
      <c r="Y71" s="85">
        <f t="shared" si="28"/>
        <v>1033.5999999999999</v>
      </c>
      <c r="AA71" s="32">
        <v>3</v>
      </c>
      <c r="AB71" s="32">
        <f>H140</f>
        <v>11.485417</v>
      </c>
      <c r="AC71" s="32">
        <f>H141</f>
        <v>21.341958999999999</v>
      </c>
      <c r="AD71" s="32">
        <f>H142</f>
        <v>7.65</v>
      </c>
      <c r="AE71" s="32">
        <f t="shared" si="30"/>
        <v>11.8</v>
      </c>
      <c r="AF71" s="122">
        <f t="shared" si="31"/>
        <v>21.341958999999999</v>
      </c>
      <c r="AG71" s="32">
        <f t="shared" si="32"/>
        <v>7.65</v>
      </c>
      <c r="AH71" s="32">
        <f>H148</f>
        <v>11.8</v>
      </c>
      <c r="AI71" s="122">
        <f t="shared" si="33"/>
        <v>21.341958999999999</v>
      </c>
      <c r="AJ71" s="32">
        <f t="shared" si="34"/>
        <v>7.65</v>
      </c>
    </row>
    <row r="72" spans="1:36" x14ac:dyDescent="0.25">
      <c r="A72" s="5">
        <v>13</v>
      </c>
      <c r="B72" s="5" t="s">
        <v>27</v>
      </c>
      <c r="C72" s="78"/>
      <c r="D72" s="78"/>
      <c r="E72" s="77">
        <f t="shared" si="25"/>
        <v>0</v>
      </c>
      <c r="F72" s="191"/>
      <c r="G72" s="78">
        <v>167</v>
      </c>
      <c r="H72" s="78">
        <v>12.556134</v>
      </c>
      <c r="I72" s="77">
        <f t="shared" si="26"/>
        <v>2096.874378</v>
      </c>
      <c r="J72" s="191"/>
      <c r="K72" s="78"/>
      <c r="L72" s="78"/>
      <c r="M72" s="77">
        <f t="shared" si="27"/>
        <v>0</v>
      </c>
      <c r="O72" s="78">
        <v>121</v>
      </c>
      <c r="P72" s="78">
        <v>13.126797</v>
      </c>
      <c r="Q72" s="77">
        <f t="shared" si="23"/>
        <v>1588.342437</v>
      </c>
      <c r="S72" s="78">
        <v>158</v>
      </c>
      <c r="T72" s="78">
        <v>12.529691</v>
      </c>
      <c r="U72" s="77">
        <f t="shared" si="24"/>
        <v>1979.691178</v>
      </c>
      <c r="W72" s="85">
        <f>ROUNDUP(AVERAGE(G72,K72,C72,O72,S72),0)</f>
        <v>149</v>
      </c>
      <c r="X72" s="85">
        <f>((C72*D72)+(G72*H72)+(K72*L72))/(C72+G72+K72)</f>
        <v>12.556134</v>
      </c>
      <c r="Y72" s="77">
        <f t="shared" si="28"/>
        <v>1870.8639660000001</v>
      </c>
      <c r="AA72" s="32">
        <v>4</v>
      </c>
      <c r="AB72" s="102">
        <f>P32</f>
        <v>11.5</v>
      </c>
      <c r="AC72" s="102">
        <f>P33</f>
        <v>22.467587999999999</v>
      </c>
      <c r="AD72" s="102">
        <f>P34</f>
        <v>7.8</v>
      </c>
      <c r="AE72" s="93">
        <f t="shared" si="30"/>
        <v>12.18</v>
      </c>
      <c r="AF72" s="102">
        <f t="shared" si="31"/>
        <v>22.467587999999999</v>
      </c>
      <c r="AG72" s="102">
        <f t="shared" si="32"/>
        <v>7.8</v>
      </c>
      <c r="AH72" s="102">
        <f>P40</f>
        <v>12.18</v>
      </c>
      <c r="AI72" s="102">
        <f t="shared" si="33"/>
        <v>22.467587999999999</v>
      </c>
      <c r="AJ72" s="102">
        <f t="shared" si="34"/>
        <v>7.8</v>
      </c>
    </row>
    <row r="73" spans="1:36" x14ac:dyDescent="0.25">
      <c r="A73" s="5">
        <v>14</v>
      </c>
      <c r="B73" s="5" t="s">
        <v>29</v>
      </c>
      <c r="C73" s="78"/>
      <c r="D73" s="78"/>
      <c r="E73" s="77">
        <f t="shared" si="25"/>
        <v>0</v>
      </c>
      <c r="F73" s="191"/>
      <c r="G73" s="78">
        <v>186</v>
      </c>
      <c r="H73" s="78">
        <v>9.0315530000000006</v>
      </c>
      <c r="I73" s="77">
        <f t="shared" si="26"/>
        <v>1679.868858</v>
      </c>
      <c r="J73" s="191"/>
      <c r="K73" s="78"/>
      <c r="L73" s="78"/>
      <c r="M73" s="77">
        <f t="shared" si="27"/>
        <v>0</v>
      </c>
      <c r="O73" s="78">
        <v>238</v>
      </c>
      <c r="P73" s="78">
        <v>8.7547300000000003</v>
      </c>
      <c r="Q73" s="77">
        <f t="shared" si="23"/>
        <v>2083.62574</v>
      </c>
      <c r="S73" s="78">
        <v>192</v>
      </c>
      <c r="T73" s="78">
        <v>8.9518229999999992</v>
      </c>
      <c r="U73" s="77">
        <f t="shared" si="24"/>
        <v>1718.750016</v>
      </c>
      <c r="W73" s="85">
        <f t="shared" ref="W73" si="36">ROUNDUP(AVERAGE(G73,K73,C73,O73,S73),0)</f>
        <v>206</v>
      </c>
      <c r="X73" s="85">
        <f>((C73*D73)+(G73*H73)+(K73*L73))/(C73+G73+K73)</f>
        <v>9.0315530000000006</v>
      </c>
      <c r="Y73" s="77">
        <f t="shared" si="28"/>
        <v>1860.4999180000002</v>
      </c>
      <c r="AA73" s="32">
        <v>5</v>
      </c>
      <c r="AB73" s="76">
        <f>H61</f>
        <v>12.05776</v>
      </c>
      <c r="AC73" s="32">
        <f>H62</f>
        <v>25.331002000000002</v>
      </c>
      <c r="AD73" s="76">
        <f>H63</f>
        <v>8.1239899999999992</v>
      </c>
      <c r="AE73" s="76">
        <f t="shared" si="30"/>
        <v>13.691584000000001</v>
      </c>
      <c r="AF73" s="32">
        <f t="shared" si="31"/>
        <v>25.331002000000002</v>
      </c>
      <c r="AG73" s="76">
        <f t="shared" si="32"/>
        <v>8.1239899999999992</v>
      </c>
      <c r="AH73" s="76">
        <f>H69</f>
        <v>13.691584000000001</v>
      </c>
      <c r="AI73" s="32">
        <f t="shared" si="33"/>
        <v>25.331002000000002</v>
      </c>
      <c r="AJ73" s="32">
        <f t="shared" si="34"/>
        <v>8.1239899999999992</v>
      </c>
    </row>
    <row r="74" spans="1:36" x14ac:dyDescent="0.25">
      <c r="A74" s="5">
        <v>15</v>
      </c>
      <c r="B74" s="5" t="s">
        <v>60</v>
      </c>
      <c r="C74" s="78"/>
      <c r="D74" s="78"/>
      <c r="E74" s="77"/>
      <c r="F74" s="191"/>
      <c r="G74" s="78"/>
      <c r="H74" s="78"/>
      <c r="I74" s="77"/>
      <c r="J74" s="191"/>
      <c r="K74" s="78"/>
      <c r="L74" s="78"/>
      <c r="M74" s="77"/>
      <c r="O74" s="78"/>
      <c r="P74" s="78"/>
      <c r="Q74" s="77"/>
      <c r="S74" s="78"/>
      <c r="T74" s="78"/>
      <c r="U74" s="77"/>
      <c r="W74" s="78"/>
      <c r="X74" s="78"/>
      <c r="Y74" s="77"/>
      <c r="AA74" s="32">
        <v>6</v>
      </c>
      <c r="AB74" s="32">
        <f>L140</f>
        <v>12.5</v>
      </c>
      <c r="AC74">
        <f>L141</f>
        <v>40.433478000000001</v>
      </c>
      <c r="AD74" s="32">
        <f>L142</f>
        <v>8.3000000000000007</v>
      </c>
      <c r="AE74" s="32">
        <f t="shared" si="30"/>
        <v>14.699299</v>
      </c>
      <c r="AF74" s="122">
        <f t="shared" si="31"/>
        <v>40.433478000000001</v>
      </c>
      <c r="AG74" s="32">
        <f t="shared" si="32"/>
        <v>8.3000000000000007</v>
      </c>
      <c r="AH74" s="32">
        <f>L148</f>
        <v>14.699299</v>
      </c>
      <c r="AI74">
        <f t="shared" si="33"/>
        <v>40.433478000000001</v>
      </c>
      <c r="AJ74" s="32">
        <f t="shared" si="34"/>
        <v>8.3000000000000007</v>
      </c>
    </row>
    <row r="75" spans="1:36" x14ac:dyDescent="0.25">
      <c r="A75" s="79"/>
      <c r="B75" s="5" t="s">
        <v>56</v>
      </c>
      <c r="C75" s="173">
        <f>SUM(C60:C73)</f>
        <v>0</v>
      </c>
      <c r="D75" s="174"/>
      <c r="E75" s="175"/>
      <c r="F75" s="191"/>
      <c r="G75" s="184">
        <f>SUM(G60:G73)</f>
        <v>2276</v>
      </c>
      <c r="H75" s="185"/>
      <c r="I75" s="186"/>
      <c r="J75" s="191"/>
      <c r="K75" s="184">
        <f>SUM(K60:K73)</f>
        <v>0</v>
      </c>
      <c r="L75" s="185"/>
      <c r="M75" s="186"/>
      <c r="O75" s="173">
        <f>SUM(O60:O73)</f>
        <v>2297</v>
      </c>
      <c r="P75" s="174"/>
      <c r="Q75" s="175"/>
      <c r="S75" s="173">
        <f>SUM(S60:S73)</f>
        <v>2271</v>
      </c>
      <c r="T75" s="174"/>
      <c r="U75" s="175"/>
      <c r="W75" s="184">
        <f>SUM(W60:W73)</f>
        <v>2245</v>
      </c>
      <c r="X75" s="185"/>
      <c r="Y75" s="186"/>
      <c r="AA75" s="32">
        <v>7</v>
      </c>
      <c r="AB75" s="76">
        <f>P140</f>
        <v>13.072851999999999</v>
      </c>
      <c r="AC75" s="32">
        <f>P141</f>
        <v>45.016686999999997</v>
      </c>
      <c r="AD75" s="32">
        <f>P142</f>
        <v>8.4</v>
      </c>
      <c r="AE75" s="76">
        <f t="shared" si="30"/>
        <v>14.972685999999999</v>
      </c>
      <c r="AF75" s="32">
        <f t="shared" si="31"/>
        <v>45.016686999999997</v>
      </c>
      <c r="AG75" s="76">
        <f t="shared" si="32"/>
        <v>8.4</v>
      </c>
      <c r="AH75" s="76">
        <f>P148</f>
        <v>14.972685999999999</v>
      </c>
      <c r="AI75" s="32">
        <f t="shared" si="33"/>
        <v>45.016686999999997</v>
      </c>
      <c r="AJ75" s="32">
        <f t="shared" si="34"/>
        <v>8.4</v>
      </c>
    </row>
    <row r="76" spans="1:36" x14ac:dyDescent="0.25">
      <c r="A76" s="79"/>
      <c r="B76" s="5" t="s">
        <v>57</v>
      </c>
      <c r="C76" s="173" t="e">
        <f>SUM(E60:E73)/C75</f>
        <v>#DIV/0!</v>
      </c>
      <c r="D76" s="174"/>
      <c r="E76" s="175"/>
      <c r="F76" s="192"/>
      <c r="G76" s="184">
        <f>SUM(I60:I73)/G75</f>
        <v>13.622068934973637</v>
      </c>
      <c r="H76" s="185"/>
      <c r="I76" s="186"/>
      <c r="J76" s="192"/>
      <c r="K76" s="184" t="e">
        <f>SUM(M60:M73)/K75</f>
        <v>#DIV/0!</v>
      </c>
      <c r="L76" s="185"/>
      <c r="M76" s="186"/>
      <c r="O76" s="173">
        <f>SUM(Q60:Q73)/O75</f>
        <v>11.888151656073138</v>
      </c>
      <c r="P76" s="174"/>
      <c r="Q76" s="175"/>
      <c r="S76" s="173">
        <f>SUM(U60:U73)/S75</f>
        <v>21.709466818141788</v>
      </c>
      <c r="T76" s="174"/>
      <c r="U76" s="175"/>
      <c r="W76" s="184">
        <f>SUM(Y60:Y73)/W75</f>
        <v>12.487857215144766</v>
      </c>
      <c r="X76" s="185"/>
      <c r="Y76" s="186"/>
      <c r="AA76" s="32">
        <v>8</v>
      </c>
      <c r="AB76" s="102">
        <f>X32</f>
        <v>16.632079999999998</v>
      </c>
      <c r="AC76" s="102">
        <f>X33</f>
        <v>47.8</v>
      </c>
      <c r="AD76" s="102">
        <f>X34</f>
        <v>9.1</v>
      </c>
      <c r="AE76" s="102">
        <f t="shared" si="30"/>
        <v>16.323270999999998</v>
      </c>
      <c r="AF76" s="102">
        <f t="shared" si="31"/>
        <v>47.8</v>
      </c>
      <c r="AG76" s="102">
        <f t="shared" si="32"/>
        <v>9.1</v>
      </c>
      <c r="AH76" s="102">
        <f>X40</f>
        <v>16.323270999999998</v>
      </c>
      <c r="AI76" s="102">
        <f t="shared" si="33"/>
        <v>47.8</v>
      </c>
      <c r="AJ76" s="102">
        <f t="shared" si="34"/>
        <v>9.1</v>
      </c>
    </row>
    <row r="77" spans="1:36" x14ac:dyDescent="0.25">
      <c r="D77" t="s">
        <v>61</v>
      </c>
      <c r="E77" t="s">
        <v>62</v>
      </c>
      <c r="H77" t="s">
        <v>61</v>
      </c>
      <c r="I77" t="s">
        <v>62</v>
      </c>
      <c r="L77" t="s">
        <v>61</v>
      </c>
      <c r="M77" t="s">
        <v>62</v>
      </c>
      <c r="P77" t="s">
        <v>61</v>
      </c>
      <c r="Q77" t="s">
        <v>62</v>
      </c>
      <c r="T77" t="s">
        <v>61</v>
      </c>
      <c r="U77" t="s">
        <v>62</v>
      </c>
      <c r="X77" t="s">
        <v>61</v>
      </c>
      <c r="Y77" t="s">
        <v>62</v>
      </c>
      <c r="AA77" s="32">
        <v>9</v>
      </c>
      <c r="AB77" s="32">
        <f>(AB78+AB76)/2</f>
        <v>18.1082015</v>
      </c>
      <c r="AC77" s="32">
        <f>T141</f>
        <v>48.085529000000001</v>
      </c>
      <c r="AD77" s="32">
        <f>T142</f>
        <v>10</v>
      </c>
      <c r="AE77" s="32">
        <f t="shared" si="30"/>
        <v>17.100000000000001</v>
      </c>
      <c r="AF77" s="32">
        <f t="shared" si="31"/>
        <v>48.085529000000001</v>
      </c>
      <c r="AG77" s="32">
        <f t="shared" si="32"/>
        <v>10</v>
      </c>
      <c r="AH77" s="32">
        <f>T148</f>
        <v>17.100000000000001</v>
      </c>
      <c r="AI77" s="32">
        <f t="shared" si="33"/>
        <v>48.085529000000001</v>
      </c>
      <c r="AJ77" s="32">
        <f t="shared" si="34"/>
        <v>10</v>
      </c>
    </row>
    <row r="78" spans="1:36" x14ac:dyDescent="0.25">
      <c r="B78" s="5" t="s">
        <v>60</v>
      </c>
      <c r="C78" s="78"/>
      <c r="D78" s="78"/>
      <c r="E78" s="77"/>
      <c r="G78" s="78"/>
      <c r="H78" s="78"/>
      <c r="I78" s="77"/>
      <c r="K78" s="78"/>
      <c r="L78" s="78"/>
      <c r="M78" s="77"/>
      <c r="O78" s="78">
        <v>21122</v>
      </c>
      <c r="P78" s="78">
        <v>0.27974399999999999</v>
      </c>
      <c r="Q78" s="77">
        <v>3.5530000000000002E-3</v>
      </c>
      <c r="S78" s="78"/>
      <c r="T78" s="78"/>
      <c r="U78" s="77"/>
      <c r="W78" s="78">
        <v>97421</v>
      </c>
      <c r="X78" s="78" t="e">
        <f>AVERAGE(D78,H78,L78)</f>
        <v>#DIV/0!</v>
      </c>
      <c r="Y78" s="77">
        <f>AVERAGE(I78,Q78)</f>
        <v>3.5530000000000002E-3</v>
      </c>
      <c r="AA78" s="32">
        <v>10</v>
      </c>
      <c r="AB78" s="32">
        <f>T61</f>
        <v>19.584323000000001</v>
      </c>
      <c r="AC78" s="32">
        <f>T62</f>
        <v>54.589064</v>
      </c>
      <c r="AD78" s="32">
        <f>T63</f>
        <v>10.865952999999999</v>
      </c>
      <c r="AE78" s="32">
        <f t="shared" si="30"/>
        <v>18.471979999999999</v>
      </c>
      <c r="AF78" s="32">
        <f t="shared" si="31"/>
        <v>54.589064</v>
      </c>
      <c r="AG78" s="32">
        <f t="shared" si="32"/>
        <v>10.865952999999999</v>
      </c>
      <c r="AH78" s="32">
        <f>T69</f>
        <v>18.471979999999999</v>
      </c>
      <c r="AI78" s="32">
        <f t="shared" si="33"/>
        <v>54.589064</v>
      </c>
      <c r="AJ78" s="32">
        <f t="shared" si="34"/>
        <v>10.865952999999999</v>
      </c>
    </row>
    <row r="79" spans="1:36" x14ac:dyDescent="0.25">
      <c r="D79" t="s">
        <v>67</v>
      </c>
      <c r="L79">
        <v>-5.2329999999999997</v>
      </c>
      <c r="T79" t="s">
        <v>101</v>
      </c>
      <c r="X79" t="s">
        <v>63</v>
      </c>
    </row>
    <row r="85" spans="1:21" x14ac:dyDescent="0.25">
      <c r="A85" s="176" t="s">
        <v>59</v>
      </c>
      <c r="B85" s="176"/>
      <c r="C85" s="176" t="s">
        <v>142</v>
      </c>
      <c r="D85" s="176"/>
      <c r="E85" s="176"/>
      <c r="F85" s="190"/>
      <c r="G85" s="176" t="s">
        <v>219</v>
      </c>
      <c r="H85" s="176"/>
      <c r="I85" s="176"/>
      <c r="J85" s="190"/>
      <c r="K85" s="176" t="s">
        <v>144</v>
      </c>
      <c r="L85" s="176"/>
      <c r="M85" s="176"/>
      <c r="N85" s="190"/>
      <c r="O85" s="176" t="s">
        <v>145</v>
      </c>
      <c r="P85" s="176"/>
      <c r="Q85" s="176"/>
      <c r="R85" s="190"/>
      <c r="S85" s="176" t="s">
        <v>146</v>
      </c>
      <c r="T85" s="176"/>
      <c r="U85" s="176"/>
    </row>
    <row r="86" spans="1:21" x14ac:dyDescent="0.25">
      <c r="A86" s="176"/>
      <c r="B86" s="176"/>
      <c r="C86" s="176"/>
      <c r="D86" s="176"/>
      <c r="E86" s="176"/>
      <c r="F86" s="191"/>
      <c r="G86" s="176"/>
      <c r="H86" s="176"/>
      <c r="I86" s="176"/>
      <c r="J86" s="191"/>
      <c r="K86" s="176"/>
      <c r="L86" s="176"/>
      <c r="M86" s="176"/>
      <c r="N86" s="191"/>
      <c r="O86" s="176"/>
      <c r="P86" s="176"/>
      <c r="Q86" s="176"/>
      <c r="R86" s="191"/>
      <c r="S86" s="176"/>
      <c r="T86" s="176"/>
      <c r="U86" s="176"/>
    </row>
    <row r="87" spans="1:21" ht="45" x14ac:dyDescent="0.25">
      <c r="A87" s="5"/>
      <c r="B87" s="5" t="s">
        <v>19</v>
      </c>
      <c r="C87" s="77" t="s">
        <v>53</v>
      </c>
      <c r="D87" s="77" t="s">
        <v>54</v>
      </c>
      <c r="E87" s="77" t="s">
        <v>55</v>
      </c>
      <c r="F87" s="191"/>
      <c r="G87" s="77" t="s">
        <v>53</v>
      </c>
      <c r="H87" s="77" t="s">
        <v>54</v>
      </c>
      <c r="I87" s="77" t="s">
        <v>55</v>
      </c>
      <c r="J87" s="191"/>
      <c r="K87" s="77" t="s">
        <v>53</v>
      </c>
      <c r="L87" s="77" t="s">
        <v>54</v>
      </c>
      <c r="M87" s="77" t="s">
        <v>55</v>
      </c>
      <c r="N87" s="191"/>
      <c r="O87" s="77" t="s">
        <v>53</v>
      </c>
      <c r="P87" s="77" t="s">
        <v>54</v>
      </c>
      <c r="Q87" s="77" t="s">
        <v>55</v>
      </c>
      <c r="R87" s="191"/>
      <c r="S87" s="77" t="s">
        <v>53</v>
      </c>
      <c r="T87" s="77" t="s">
        <v>54</v>
      </c>
      <c r="U87" s="77" t="s">
        <v>55</v>
      </c>
    </row>
    <row r="88" spans="1:21" x14ac:dyDescent="0.25">
      <c r="A88" s="5">
        <v>1</v>
      </c>
      <c r="B88" s="5" t="s">
        <v>23</v>
      </c>
      <c r="C88" s="78"/>
      <c r="D88" s="78"/>
      <c r="E88" s="77">
        <f>C88*D88</f>
        <v>0</v>
      </c>
      <c r="F88" s="191"/>
      <c r="G88" s="78">
        <v>282</v>
      </c>
      <c r="H88" s="116">
        <v>12.944539000000001</v>
      </c>
      <c r="I88" s="77">
        <f>G88*H88</f>
        <v>3650.3599980000004</v>
      </c>
      <c r="J88" s="191"/>
      <c r="K88" s="78"/>
      <c r="L88" s="78"/>
      <c r="M88" s="77">
        <f>K88*L88</f>
        <v>0</v>
      </c>
      <c r="N88" s="191"/>
      <c r="O88" s="78"/>
      <c r="P88" s="78"/>
      <c r="Q88" s="77">
        <f>O88*P88</f>
        <v>0</v>
      </c>
      <c r="R88" s="191"/>
      <c r="S88" s="78">
        <v>290</v>
      </c>
      <c r="T88" s="78">
        <v>4.0779339999999999</v>
      </c>
      <c r="U88" s="77">
        <f>S88*T88</f>
        <v>1182.60086</v>
      </c>
    </row>
    <row r="89" spans="1:21" x14ac:dyDescent="0.25">
      <c r="A89" s="5">
        <v>2</v>
      </c>
      <c r="B89" s="5" t="s">
        <v>24</v>
      </c>
      <c r="C89" s="78"/>
      <c r="D89" s="78"/>
      <c r="E89" s="77">
        <f t="shared" ref="E89:E101" si="37">C89*D89</f>
        <v>0</v>
      </c>
      <c r="F89" s="191"/>
      <c r="G89" s="78">
        <v>120</v>
      </c>
      <c r="H89" s="78">
        <v>11.316935000000001</v>
      </c>
      <c r="I89" s="77">
        <f t="shared" ref="I89:I101" si="38">G89*H89</f>
        <v>1358.0322000000001</v>
      </c>
      <c r="J89" s="191"/>
      <c r="K89" s="78"/>
      <c r="L89" s="78"/>
      <c r="M89" s="77">
        <f t="shared" ref="M89:M101" si="39">K89*L89</f>
        <v>0</v>
      </c>
      <c r="N89" s="191"/>
      <c r="O89" s="78"/>
      <c r="P89" s="78"/>
      <c r="Q89" s="77">
        <f t="shared" ref="Q89:Q101" si="40">O89*P89</f>
        <v>0</v>
      </c>
      <c r="R89" s="191"/>
      <c r="S89" s="78"/>
      <c r="T89" s="78"/>
      <c r="U89" s="77">
        <f t="shared" ref="U89:U101" si="41">S89*T89</f>
        <v>0</v>
      </c>
    </row>
    <row r="90" spans="1:21" s="97" customFormat="1" x14ac:dyDescent="0.25">
      <c r="A90" s="95">
        <v>3</v>
      </c>
      <c r="B90" s="95" t="s">
        <v>25</v>
      </c>
      <c r="C90" s="96"/>
      <c r="D90" s="96"/>
      <c r="E90" s="96">
        <f t="shared" si="37"/>
        <v>0</v>
      </c>
      <c r="F90" s="191"/>
      <c r="G90" s="96">
        <v>173</v>
      </c>
      <c r="H90" s="96">
        <v>21.141051999999998</v>
      </c>
      <c r="I90" s="96">
        <f t="shared" si="38"/>
        <v>3657.4019959999996</v>
      </c>
      <c r="J90" s="191"/>
      <c r="K90" s="96"/>
      <c r="L90" s="96"/>
      <c r="M90" s="96">
        <f t="shared" si="39"/>
        <v>0</v>
      </c>
      <c r="N90" s="191"/>
      <c r="O90" s="96"/>
      <c r="P90" s="96"/>
      <c r="Q90" s="96">
        <f t="shared" si="40"/>
        <v>0</v>
      </c>
      <c r="R90" s="191"/>
      <c r="S90" s="96"/>
      <c r="T90" s="96"/>
      <c r="U90" s="96">
        <f t="shared" si="41"/>
        <v>0</v>
      </c>
    </row>
    <row r="91" spans="1:21" s="120" customFormat="1" x14ac:dyDescent="0.25">
      <c r="A91" s="118">
        <v>4</v>
      </c>
      <c r="B91" s="118" t="s">
        <v>26</v>
      </c>
      <c r="C91" s="119"/>
      <c r="D91" s="119"/>
      <c r="E91" s="119">
        <f t="shared" si="37"/>
        <v>0</v>
      </c>
      <c r="F91" s="191"/>
      <c r="G91" s="119">
        <v>162</v>
      </c>
      <c r="H91" s="119">
        <v>9.2061360000000008</v>
      </c>
      <c r="I91" s="119">
        <f t="shared" si="38"/>
        <v>1491.3940320000002</v>
      </c>
      <c r="J91" s="191"/>
      <c r="K91" s="119"/>
      <c r="L91" s="119"/>
      <c r="M91" s="119">
        <f t="shared" si="39"/>
        <v>0</v>
      </c>
      <c r="N91" s="191"/>
      <c r="O91" s="119"/>
      <c r="P91" s="119"/>
      <c r="Q91" s="119">
        <f t="shared" si="40"/>
        <v>0</v>
      </c>
      <c r="R91" s="191"/>
      <c r="S91" s="119"/>
      <c r="T91" s="119"/>
      <c r="U91" s="119">
        <f t="shared" si="41"/>
        <v>0</v>
      </c>
    </row>
    <row r="92" spans="1:21" x14ac:dyDescent="0.25">
      <c r="A92" s="5">
        <v>5</v>
      </c>
      <c r="B92" s="5" t="s">
        <v>27</v>
      </c>
      <c r="C92" s="78"/>
      <c r="D92" s="78"/>
      <c r="E92" s="77">
        <f t="shared" si="37"/>
        <v>0</v>
      </c>
      <c r="F92" s="191"/>
      <c r="G92" s="78">
        <v>152</v>
      </c>
      <c r="H92" s="78">
        <v>12.273788</v>
      </c>
      <c r="I92" s="77">
        <f t="shared" si="38"/>
        <v>1865.6157759999999</v>
      </c>
      <c r="J92" s="191"/>
      <c r="K92" s="78"/>
      <c r="L92" s="78"/>
      <c r="M92" s="77">
        <f t="shared" si="39"/>
        <v>0</v>
      </c>
      <c r="N92" s="191"/>
      <c r="O92" s="78"/>
      <c r="P92" s="78"/>
      <c r="Q92" s="77">
        <f t="shared" si="40"/>
        <v>0</v>
      </c>
      <c r="R92" s="191"/>
      <c r="S92" s="78"/>
      <c r="T92" s="78"/>
      <c r="U92" s="77">
        <f t="shared" si="41"/>
        <v>0</v>
      </c>
    </row>
    <row r="93" spans="1:21" s="120" customFormat="1" x14ac:dyDescent="0.25">
      <c r="A93" s="118">
        <v>6</v>
      </c>
      <c r="B93" s="118" t="s">
        <v>28</v>
      </c>
      <c r="C93" s="119"/>
      <c r="D93" s="119"/>
      <c r="E93" s="119">
        <f t="shared" si="37"/>
        <v>0</v>
      </c>
      <c r="F93" s="191"/>
      <c r="G93" s="119">
        <v>112</v>
      </c>
      <c r="H93" s="119">
        <v>13.035365000000001</v>
      </c>
      <c r="I93" s="119">
        <f t="shared" si="38"/>
        <v>1459.9608800000001</v>
      </c>
      <c r="J93" s="191"/>
      <c r="K93" s="119"/>
      <c r="L93" s="119"/>
      <c r="M93" s="119">
        <f t="shared" si="39"/>
        <v>0</v>
      </c>
      <c r="N93" s="191"/>
      <c r="O93" s="119"/>
      <c r="P93" s="119"/>
      <c r="Q93" s="119">
        <f t="shared" si="40"/>
        <v>0</v>
      </c>
      <c r="R93" s="191"/>
      <c r="S93" s="119"/>
      <c r="T93" s="119"/>
      <c r="U93" s="119">
        <f t="shared" si="41"/>
        <v>0</v>
      </c>
    </row>
    <row r="94" spans="1:21" s="97" customFormat="1" x14ac:dyDescent="0.25">
      <c r="A94" s="95">
        <v>7</v>
      </c>
      <c r="B94" s="95" t="s">
        <v>25</v>
      </c>
      <c r="C94" s="96"/>
      <c r="D94" s="96"/>
      <c r="E94" s="96">
        <f t="shared" si="37"/>
        <v>0</v>
      </c>
      <c r="F94" s="191"/>
      <c r="G94" s="96">
        <v>183</v>
      </c>
      <c r="H94" s="117">
        <v>20.873457999999999</v>
      </c>
      <c r="I94" s="96">
        <f t="shared" si="38"/>
        <v>3819.8428140000001</v>
      </c>
      <c r="J94" s="191"/>
      <c r="K94" s="96"/>
      <c r="L94" s="96"/>
      <c r="M94" s="96">
        <f t="shared" si="39"/>
        <v>0</v>
      </c>
      <c r="N94" s="191"/>
      <c r="O94" s="96"/>
      <c r="P94" s="96"/>
      <c r="Q94" s="96">
        <f t="shared" si="40"/>
        <v>0</v>
      </c>
      <c r="R94" s="191"/>
      <c r="S94" s="96"/>
      <c r="T94" s="96"/>
      <c r="U94" s="96">
        <f t="shared" si="41"/>
        <v>0</v>
      </c>
    </row>
    <row r="95" spans="1:21" s="120" customFormat="1" x14ac:dyDescent="0.25">
      <c r="A95" s="118">
        <v>8</v>
      </c>
      <c r="B95" s="118" t="s">
        <v>26</v>
      </c>
      <c r="C95" s="119"/>
      <c r="D95" s="119"/>
      <c r="E95" s="119">
        <f t="shared" si="37"/>
        <v>0</v>
      </c>
      <c r="F95" s="191"/>
      <c r="G95" s="119">
        <v>146</v>
      </c>
      <c r="H95" s="119">
        <v>9.4519719999999996</v>
      </c>
      <c r="I95" s="119">
        <f t="shared" si="38"/>
        <v>1379.9879120000001</v>
      </c>
      <c r="J95" s="191"/>
      <c r="K95" s="119"/>
      <c r="L95" s="119"/>
      <c r="M95" s="119">
        <f t="shared" si="39"/>
        <v>0</v>
      </c>
      <c r="N95" s="191"/>
      <c r="O95" s="119"/>
      <c r="P95" s="119"/>
      <c r="Q95" s="119">
        <f t="shared" si="40"/>
        <v>0</v>
      </c>
      <c r="R95" s="191"/>
      <c r="S95" s="119"/>
      <c r="T95" s="121"/>
      <c r="U95" s="119">
        <f t="shared" si="41"/>
        <v>0</v>
      </c>
    </row>
    <row r="96" spans="1:21" x14ac:dyDescent="0.25">
      <c r="A96" s="5">
        <v>9</v>
      </c>
      <c r="B96" s="5" t="s">
        <v>27</v>
      </c>
      <c r="C96" s="78"/>
      <c r="D96" s="78"/>
      <c r="E96" s="77">
        <f t="shared" si="37"/>
        <v>0</v>
      </c>
      <c r="F96" s="191"/>
      <c r="G96" s="78">
        <v>159</v>
      </c>
      <c r="H96" s="78">
        <v>12.483596</v>
      </c>
      <c r="I96" s="77">
        <f t="shared" si="38"/>
        <v>1984.891764</v>
      </c>
      <c r="J96" s="191"/>
      <c r="K96" s="78"/>
      <c r="L96" s="78"/>
      <c r="M96" s="77">
        <f t="shared" si="39"/>
        <v>0</v>
      </c>
      <c r="N96" s="191"/>
      <c r="O96" s="78"/>
      <c r="P96" s="78"/>
      <c r="Q96" s="77">
        <f t="shared" si="40"/>
        <v>0</v>
      </c>
      <c r="R96" s="191"/>
      <c r="S96" s="78"/>
      <c r="T96" s="78"/>
      <c r="U96" s="77">
        <f t="shared" si="41"/>
        <v>0</v>
      </c>
    </row>
    <row r="97" spans="1:21" s="120" customFormat="1" x14ac:dyDescent="0.25">
      <c r="A97" s="118">
        <v>10</v>
      </c>
      <c r="B97" s="118" t="s">
        <v>28</v>
      </c>
      <c r="C97" s="119"/>
      <c r="D97" s="119"/>
      <c r="E97" s="119">
        <f t="shared" si="37"/>
        <v>0</v>
      </c>
      <c r="F97" s="191"/>
      <c r="G97" s="119">
        <v>125</v>
      </c>
      <c r="H97" s="119">
        <v>14.162063</v>
      </c>
      <c r="I97" s="119">
        <f t="shared" si="38"/>
        <v>1770.257875</v>
      </c>
      <c r="J97" s="191"/>
      <c r="K97" s="119"/>
      <c r="L97" s="119"/>
      <c r="M97" s="119">
        <f t="shared" si="39"/>
        <v>0</v>
      </c>
      <c r="N97" s="191"/>
      <c r="O97" s="119"/>
      <c r="P97" s="119"/>
      <c r="Q97" s="119">
        <f t="shared" si="40"/>
        <v>0</v>
      </c>
      <c r="R97" s="191"/>
      <c r="S97" s="119"/>
      <c r="T97" s="119"/>
      <c r="U97" s="119">
        <f t="shared" si="41"/>
        <v>0</v>
      </c>
    </row>
    <row r="98" spans="1:21" s="97" customFormat="1" x14ac:dyDescent="0.25">
      <c r="A98" s="95">
        <v>11</v>
      </c>
      <c r="B98" s="95" t="s">
        <v>25</v>
      </c>
      <c r="C98" s="96"/>
      <c r="D98" s="96"/>
      <c r="E98" s="96">
        <f t="shared" si="37"/>
        <v>0</v>
      </c>
      <c r="F98" s="191"/>
      <c r="G98" s="96">
        <v>165</v>
      </c>
      <c r="H98" s="96">
        <v>19.429524000000001</v>
      </c>
      <c r="I98" s="96">
        <f t="shared" si="38"/>
        <v>3205.8714600000003</v>
      </c>
      <c r="J98" s="191"/>
      <c r="K98" s="96"/>
      <c r="L98" s="96"/>
      <c r="M98" s="96">
        <f t="shared" si="39"/>
        <v>0</v>
      </c>
      <c r="N98" s="191"/>
      <c r="O98" s="96"/>
      <c r="P98" s="96"/>
      <c r="Q98" s="96">
        <f t="shared" si="40"/>
        <v>0</v>
      </c>
      <c r="R98" s="191"/>
      <c r="S98" s="96"/>
      <c r="T98" s="96"/>
      <c r="U98" s="96">
        <f t="shared" si="41"/>
        <v>0</v>
      </c>
    </row>
    <row r="99" spans="1:21" s="120" customFormat="1" x14ac:dyDescent="0.25">
      <c r="A99" s="118">
        <v>12</v>
      </c>
      <c r="B99" s="118" t="s">
        <v>26</v>
      </c>
      <c r="C99" s="119"/>
      <c r="D99" s="119"/>
      <c r="E99" s="119">
        <f t="shared" si="37"/>
        <v>0</v>
      </c>
      <c r="F99" s="191"/>
      <c r="G99" s="119">
        <v>146</v>
      </c>
      <c r="H99" s="119">
        <v>8.3637239999999995</v>
      </c>
      <c r="I99" s="119">
        <f t="shared" si="38"/>
        <v>1221.1037039999999</v>
      </c>
      <c r="J99" s="191"/>
      <c r="K99" s="119"/>
      <c r="L99" s="119"/>
      <c r="M99" s="119">
        <f t="shared" si="39"/>
        <v>0</v>
      </c>
      <c r="N99" s="191"/>
      <c r="O99" s="119"/>
      <c r="P99" s="119"/>
      <c r="Q99" s="119">
        <f t="shared" si="40"/>
        <v>0</v>
      </c>
      <c r="R99" s="191"/>
      <c r="S99" s="119"/>
      <c r="T99" s="119"/>
      <c r="U99" s="119">
        <f t="shared" si="41"/>
        <v>0</v>
      </c>
    </row>
    <row r="100" spans="1:21" x14ac:dyDescent="0.25">
      <c r="A100" s="5">
        <v>13</v>
      </c>
      <c r="B100" s="5" t="s">
        <v>27</v>
      </c>
      <c r="C100" s="78"/>
      <c r="D100" s="78"/>
      <c r="E100" s="77">
        <f t="shared" si="37"/>
        <v>0</v>
      </c>
      <c r="F100" s="191"/>
      <c r="G100" s="78">
        <v>162</v>
      </c>
      <c r="H100" s="78">
        <v>12.667619999999999</v>
      </c>
      <c r="I100" s="77">
        <f t="shared" si="38"/>
        <v>2052.1544399999998</v>
      </c>
      <c r="J100" s="191"/>
      <c r="K100" s="78"/>
      <c r="L100" s="78"/>
      <c r="M100" s="77">
        <f t="shared" si="39"/>
        <v>0</v>
      </c>
      <c r="N100" s="191"/>
      <c r="O100" s="78"/>
      <c r="P100" s="78"/>
      <c r="Q100" s="77">
        <f t="shared" si="40"/>
        <v>0</v>
      </c>
      <c r="R100" s="191"/>
      <c r="S100" s="78"/>
      <c r="T100" s="78"/>
      <c r="U100" s="77">
        <f t="shared" si="41"/>
        <v>0</v>
      </c>
    </row>
    <row r="101" spans="1:21" x14ac:dyDescent="0.25">
      <c r="A101" s="5">
        <v>14</v>
      </c>
      <c r="B101" s="5" t="s">
        <v>29</v>
      </c>
      <c r="C101" s="78"/>
      <c r="D101" s="78"/>
      <c r="E101" s="77">
        <f t="shared" si="37"/>
        <v>0</v>
      </c>
      <c r="F101" s="191"/>
      <c r="G101" s="78">
        <v>225</v>
      </c>
      <c r="H101" s="78">
        <v>7.4005130000000001</v>
      </c>
      <c r="I101" s="77">
        <f t="shared" si="38"/>
        <v>1665.115425</v>
      </c>
      <c r="J101" s="191"/>
      <c r="K101" s="78"/>
      <c r="L101" s="78"/>
      <c r="M101" s="77">
        <f t="shared" si="39"/>
        <v>0</v>
      </c>
      <c r="N101" s="191"/>
      <c r="O101" s="78"/>
      <c r="P101" s="78"/>
      <c r="Q101" s="77">
        <f t="shared" si="40"/>
        <v>0</v>
      </c>
      <c r="R101" s="191"/>
      <c r="S101" s="78"/>
      <c r="T101" s="78"/>
      <c r="U101" s="77">
        <f t="shared" si="41"/>
        <v>0</v>
      </c>
    </row>
    <row r="102" spans="1:21" x14ac:dyDescent="0.25">
      <c r="A102" s="5">
        <v>15</v>
      </c>
      <c r="B102" s="5" t="s">
        <v>60</v>
      </c>
      <c r="C102" s="78"/>
      <c r="D102" s="78"/>
      <c r="E102" s="77"/>
      <c r="F102" s="191"/>
      <c r="G102" s="78"/>
      <c r="H102" s="78"/>
      <c r="I102" s="77"/>
      <c r="J102" s="191"/>
      <c r="K102" s="78"/>
      <c r="L102" s="78"/>
      <c r="M102" s="77"/>
      <c r="N102" s="191"/>
      <c r="O102" s="78"/>
      <c r="P102" s="78"/>
      <c r="Q102" s="77"/>
      <c r="R102" s="191"/>
      <c r="S102" s="78"/>
      <c r="T102" s="78"/>
      <c r="U102" s="77"/>
    </row>
    <row r="103" spans="1:21" x14ac:dyDescent="0.25">
      <c r="A103" s="79"/>
      <c r="B103" s="5" t="s">
        <v>56</v>
      </c>
      <c r="C103" s="173">
        <f>SUM(C88:C102)</f>
        <v>0</v>
      </c>
      <c r="D103" s="174"/>
      <c r="E103" s="175"/>
      <c r="F103" s="191"/>
      <c r="G103" s="184">
        <f>SUM(G88:G101)</f>
        <v>2312</v>
      </c>
      <c r="H103" s="185"/>
      <c r="I103" s="186"/>
      <c r="J103" s="191"/>
      <c r="K103" s="184">
        <f>SUM(K88:K101)</f>
        <v>0</v>
      </c>
      <c r="L103" s="185"/>
      <c r="M103" s="186"/>
      <c r="N103" s="191"/>
      <c r="O103" s="184">
        <f>SUM(O88:O101)</f>
        <v>0</v>
      </c>
      <c r="P103" s="185"/>
      <c r="Q103" s="186"/>
      <c r="R103" s="191"/>
      <c r="S103" s="184">
        <f>SUM(S88:S101)</f>
        <v>290</v>
      </c>
      <c r="T103" s="185"/>
      <c r="U103" s="186"/>
    </row>
    <row r="104" spans="1:21" x14ac:dyDescent="0.25">
      <c r="A104" s="79"/>
      <c r="B104" s="5" t="s">
        <v>57</v>
      </c>
      <c r="C104" s="173" t="e">
        <f>SUM(E88:E101)/C103</f>
        <v>#DIV/0!</v>
      </c>
      <c r="D104" s="174"/>
      <c r="E104" s="175"/>
      <c r="F104" s="192"/>
      <c r="G104" s="184">
        <f>SUM(I88:I101)/G103</f>
        <v>13.227504444636679</v>
      </c>
      <c r="H104" s="185"/>
      <c r="I104" s="186"/>
      <c r="J104" s="192"/>
      <c r="K104" s="184" t="e">
        <f>SUM(M88:M101)/K103</f>
        <v>#DIV/0!</v>
      </c>
      <c r="L104" s="185"/>
      <c r="M104" s="186"/>
      <c r="N104" s="192"/>
      <c r="O104" s="184" t="e">
        <f>SUM(Q88:Q101)/O103</f>
        <v>#DIV/0!</v>
      </c>
      <c r="P104" s="185"/>
      <c r="Q104" s="186"/>
      <c r="R104" s="192"/>
      <c r="S104" s="184">
        <f>SUM(U88:U101)/S103</f>
        <v>4.0779339999999999</v>
      </c>
      <c r="T104" s="185"/>
      <c r="U104" s="186"/>
    </row>
    <row r="105" spans="1:21" x14ac:dyDescent="0.25">
      <c r="D105" t="s">
        <v>61</v>
      </c>
      <c r="E105" t="s">
        <v>62</v>
      </c>
      <c r="H105" t="s">
        <v>61</v>
      </c>
      <c r="I105" t="s">
        <v>62</v>
      </c>
      <c r="L105" t="s">
        <v>61</v>
      </c>
      <c r="M105" t="s">
        <v>62</v>
      </c>
      <c r="P105" t="s">
        <v>61</v>
      </c>
      <c r="Q105" t="s">
        <v>62</v>
      </c>
      <c r="T105" t="s">
        <v>61</v>
      </c>
      <c r="U105" t="s">
        <v>62</v>
      </c>
    </row>
    <row r="106" spans="1:21" x14ac:dyDescent="0.25">
      <c r="B106" s="5" t="s">
        <v>60</v>
      </c>
      <c r="C106" s="78">
        <v>25158</v>
      </c>
      <c r="D106" s="78">
        <v>0.305176</v>
      </c>
      <c r="E106" s="77">
        <v>1.1594999999999999E-2</v>
      </c>
      <c r="G106" s="78"/>
      <c r="H106" s="78"/>
      <c r="I106" s="77"/>
      <c r="K106" s="78">
        <v>21156</v>
      </c>
      <c r="L106" s="78">
        <v>0.33060699999999998</v>
      </c>
      <c r="M106" s="77">
        <v>2.6606999999999999E-2</v>
      </c>
      <c r="O106" s="78">
        <v>22113</v>
      </c>
      <c r="P106" s="78">
        <v>0.33060699999999998</v>
      </c>
      <c r="Q106" s="77">
        <v>1.0243E-2</v>
      </c>
      <c r="S106" s="78">
        <v>22131</v>
      </c>
      <c r="T106" s="78">
        <v>0.25431300000000001</v>
      </c>
      <c r="U106" s="77">
        <v>1.1336000000000001E-2</v>
      </c>
    </row>
    <row r="110" spans="1:21" s="81" customFormat="1" x14ac:dyDescent="0.25"/>
    <row r="111" spans="1:21" x14ac:dyDescent="0.25">
      <c r="B111" t="str">
        <f>CONCATENATE("Common ", 'CC23XX Power Computation Sheet'!B2)</f>
        <v>Common 3.0V</v>
      </c>
    </row>
    <row r="113" spans="1:25" ht="26.25" customHeight="1" x14ac:dyDescent="0.25">
      <c r="B113" s="43" t="s">
        <v>19</v>
      </c>
      <c r="C113" s="44" t="s">
        <v>20</v>
      </c>
      <c r="D113" s="45" t="s">
        <v>21</v>
      </c>
      <c r="E113" s="4" t="s">
        <v>22</v>
      </c>
      <c r="F113" s="200"/>
      <c r="G113" s="201"/>
      <c r="H113" s="201"/>
      <c r="I113" s="201"/>
      <c r="J113" s="200"/>
      <c r="K113" s="201"/>
      <c r="L113" s="201"/>
      <c r="M113" s="201"/>
      <c r="N113" s="200"/>
      <c r="O113" s="201"/>
      <c r="P113" s="201"/>
      <c r="Q113" s="201"/>
      <c r="R113" s="200"/>
      <c r="S113" s="201"/>
      <c r="T113" s="201"/>
      <c r="U113" s="201"/>
      <c r="V113" s="200"/>
      <c r="W113" s="201"/>
      <c r="X113" s="201"/>
      <c r="Y113" s="201"/>
    </row>
    <row r="114" spans="1:25" x14ac:dyDescent="0.25">
      <c r="A114" s="47">
        <v>1</v>
      </c>
      <c r="B114" s="47" t="s">
        <v>23</v>
      </c>
      <c r="C114" s="48">
        <f>CHOOSE(IF(B111="Common 3.0V",1,IF(B111="Common 3.3V",2)), W60, W4)</f>
        <v>286</v>
      </c>
      <c r="D114" s="48">
        <f>CHOOSE(IF(B111="Common 3.0V",1,IF(B111="Common 3.3V",2)), X60, X4)</f>
        <v>8.7358799999999999</v>
      </c>
      <c r="E114" s="49">
        <f t="shared" ref="E114:E127" si="42">Y4</f>
        <v>2320.6855100000002</v>
      </c>
      <c r="F114" s="200"/>
      <c r="G114" s="201"/>
      <c r="H114" s="201"/>
      <c r="I114" s="201"/>
      <c r="J114" s="200"/>
      <c r="K114" s="201"/>
      <c r="L114" s="201"/>
      <c r="M114" s="201"/>
      <c r="N114" s="200"/>
      <c r="O114" s="201"/>
      <c r="P114" s="201"/>
      <c r="Q114" s="201"/>
      <c r="R114" s="200"/>
      <c r="S114" s="201"/>
      <c r="T114" s="201"/>
      <c r="U114" s="201"/>
      <c r="V114" s="200"/>
      <c r="W114" s="201"/>
      <c r="X114" s="201"/>
      <c r="Y114" s="201"/>
    </row>
    <row r="115" spans="1:25" x14ac:dyDescent="0.25">
      <c r="A115" s="47">
        <v>2</v>
      </c>
      <c r="B115" s="47" t="s">
        <v>24</v>
      </c>
      <c r="C115" s="87">
        <f>CHOOSE(IF(B111="Common 3.0V",1,IF(B111="Common 3.3V",2)), W61, W5)</f>
        <v>112</v>
      </c>
      <c r="D115" s="87">
        <f>CHOOSE(IF(B111="Common 3.0V",1,IF(B111="Common 3.3V",2)), X61, X5)</f>
        <v>10.9</v>
      </c>
      <c r="E115" s="50">
        <f t="shared" si="42"/>
        <v>1202.8918277847465</v>
      </c>
      <c r="F115" s="200"/>
      <c r="G115" s="123"/>
      <c r="H115" s="123"/>
      <c r="I115" s="123"/>
      <c r="J115" s="200"/>
      <c r="K115" s="123"/>
      <c r="L115" s="123"/>
      <c r="M115" s="123"/>
      <c r="N115" s="200"/>
      <c r="O115" s="123"/>
      <c r="P115" s="123"/>
      <c r="Q115" s="123"/>
      <c r="R115" s="200"/>
      <c r="S115" s="123"/>
      <c r="T115" s="123"/>
      <c r="U115" s="123"/>
      <c r="V115" s="200"/>
      <c r="W115" s="123"/>
      <c r="X115" s="123"/>
      <c r="Y115" s="123"/>
    </row>
    <row r="116" spans="1:25" x14ac:dyDescent="0.25">
      <c r="A116" s="47">
        <v>3</v>
      </c>
      <c r="B116" s="47" t="s">
        <v>25</v>
      </c>
      <c r="C116" s="48">
        <f>CHOOSE(IF(B111="Common 3.0V",1,IF(B111="Common 3.3V",2)), W62, W6)</f>
        <v>168</v>
      </c>
      <c r="D116" s="48">
        <f>CHOOSE(IF(B111="Common 3.0V",1,IF(B111="Common 3.3V",2)), X62, X6)</f>
        <v>21.257753000000001</v>
      </c>
      <c r="E116" s="50">
        <f t="shared" si="42"/>
        <v>3526.1832255814443</v>
      </c>
      <c r="F116" s="200"/>
      <c r="G116" s="123"/>
      <c r="H116" s="124"/>
      <c r="I116" s="123"/>
      <c r="J116" s="200"/>
      <c r="K116" s="123"/>
      <c r="L116" s="123"/>
      <c r="M116" s="123"/>
      <c r="N116" s="200"/>
      <c r="O116" s="123"/>
      <c r="P116" s="123"/>
      <c r="Q116" s="123"/>
      <c r="R116" s="200"/>
      <c r="S116" s="123"/>
      <c r="T116" s="123"/>
      <c r="U116" s="123"/>
      <c r="V116" s="200"/>
      <c r="W116" s="123"/>
      <c r="X116" s="123"/>
      <c r="Y116" s="123"/>
    </row>
    <row r="117" spans="1:25" x14ac:dyDescent="0.25">
      <c r="A117" s="47">
        <v>4</v>
      </c>
      <c r="B117" s="47" t="s">
        <v>26</v>
      </c>
      <c r="C117" s="48">
        <f>CHOOSE(IF(B111="Common 3.0V",1,IF(B111="Common 3.3V",2)), W63, W7)</f>
        <v>144</v>
      </c>
      <c r="D117" s="48">
        <f>CHOOSE(IF(B111="Common 3.0V",1,IF(B111="Common 3.3V",2)), X63, X7)</f>
        <v>7.6</v>
      </c>
      <c r="E117" s="50">
        <f t="shared" si="42"/>
        <v>1080.5735212164295</v>
      </c>
      <c r="F117" s="200"/>
      <c r="G117" s="123"/>
      <c r="H117" s="123"/>
      <c r="I117" s="123"/>
      <c r="J117" s="200"/>
      <c r="K117" s="123"/>
      <c r="L117" s="123"/>
      <c r="M117" s="123"/>
      <c r="N117" s="200"/>
      <c r="O117" s="123"/>
      <c r="P117" s="123"/>
      <c r="Q117" s="123"/>
      <c r="R117" s="200"/>
      <c r="S117" s="123"/>
      <c r="T117" s="123"/>
      <c r="U117" s="123"/>
      <c r="V117" s="200"/>
      <c r="W117" s="123"/>
      <c r="X117" s="123"/>
      <c r="Y117" s="123"/>
    </row>
    <row r="118" spans="1:25" x14ac:dyDescent="0.25">
      <c r="A118" s="47">
        <v>5</v>
      </c>
      <c r="B118" s="47" t="s">
        <v>27</v>
      </c>
      <c r="C118" s="48">
        <f>CHOOSE(IF(B111="Common 3.0V",1,IF(B111="Common 3.3V",2)), W64, W8)</f>
        <v>163</v>
      </c>
      <c r="D118" s="48">
        <f>CHOOSE(IF(B111="Common 3.0V",1,IF(B111="Common 3.3V",2)), X64, X8)</f>
        <v>12.31338</v>
      </c>
      <c r="E118" s="50">
        <f t="shared" si="42"/>
        <v>1976.8494929999999</v>
      </c>
      <c r="F118" s="200"/>
      <c r="G118" s="123"/>
      <c r="H118" s="123"/>
      <c r="I118" s="123"/>
      <c r="J118" s="200"/>
      <c r="K118" s="123"/>
      <c r="L118" s="123"/>
      <c r="M118" s="123"/>
      <c r="N118" s="200"/>
      <c r="O118" s="123"/>
      <c r="P118" s="123"/>
      <c r="Q118" s="123"/>
      <c r="R118" s="200"/>
      <c r="S118" s="123"/>
      <c r="T118" s="123"/>
      <c r="U118" s="123"/>
      <c r="V118" s="200"/>
      <c r="W118" s="123"/>
      <c r="X118" s="123"/>
      <c r="Y118" s="123"/>
    </row>
    <row r="119" spans="1:25" x14ac:dyDescent="0.25">
      <c r="A119" s="47">
        <v>6</v>
      </c>
      <c r="B119" s="47" t="s">
        <v>28</v>
      </c>
      <c r="C119" s="48">
        <f>CHOOSE(IF(B111="Common 3.0V",1,IF(B111="Common 3.3V",2)), W65, W9)</f>
        <v>119</v>
      </c>
      <c r="D119" s="48">
        <f>CHOOSE(IF(B111="Common 3.0V",1,IF(B111="Common 3.3V",2)), X65, X9)</f>
        <v>11.03</v>
      </c>
      <c r="E119" s="50">
        <f t="shared" si="42"/>
        <v>1295.987195488897</v>
      </c>
      <c r="F119" s="200"/>
      <c r="G119" s="123"/>
      <c r="H119" s="123"/>
      <c r="I119" s="123"/>
      <c r="J119" s="200"/>
      <c r="K119" s="123"/>
      <c r="L119" s="123"/>
      <c r="M119" s="123"/>
      <c r="N119" s="200"/>
      <c r="O119" s="123"/>
      <c r="P119" s="123"/>
      <c r="Q119" s="123"/>
      <c r="R119" s="200"/>
      <c r="S119" s="123"/>
      <c r="T119" s="123"/>
      <c r="U119" s="123"/>
      <c r="V119" s="200"/>
      <c r="W119" s="123"/>
      <c r="X119" s="123"/>
      <c r="Y119" s="123"/>
    </row>
    <row r="120" spans="1:25" x14ac:dyDescent="0.25">
      <c r="A120" s="47">
        <v>7</v>
      </c>
      <c r="B120" s="47" t="s">
        <v>25</v>
      </c>
      <c r="C120" s="48">
        <f>CHOOSE(IF(B111="Common 3.0V",1,IF(B111="Common 3.3V",2)), W66, W10)</f>
        <v>168</v>
      </c>
      <c r="D120" s="48">
        <f>CHOOSE(IF(B111="Common 3.0V",1,IF(B111="Common 3.3V",2)), X66, X10)</f>
        <v>21.257753000000001</v>
      </c>
      <c r="E120" s="50">
        <f t="shared" si="42"/>
        <v>3526.1832255814443</v>
      </c>
      <c r="F120" s="200"/>
      <c r="G120" s="123"/>
      <c r="H120" s="123"/>
      <c r="I120" s="123"/>
      <c r="J120" s="200"/>
      <c r="K120" s="123"/>
      <c r="L120" s="123"/>
      <c r="M120" s="123"/>
      <c r="N120" s="200"/>
      <c r="O120" s="123"/>
      <c r="P120" s="123"/>
      <c r="Q120" s="123"/>
      <c r="R120" s="200"/>
      <c r="S120" s="123"/>
      <c r="T120" s="123"/>
      <c r="U120" s="123"/>
      <c r="V120" s="200"/>
      <c r="W120" s="123"/>
      <c r="X120" s="123"/>
      <c r="Y120" s="123"/>
    </row>
    <row r="121" spans="1:25" x14ac:dyDescent="0.25">
      <c r="A121" s="47">
        <v>8</v>
      </c>
      <c r="B121" s="47" t="s">
        <v>26</v>
      </c>
      <c r="C121" s="48">
        <f>CHOOSE(IF(B111="Common 3.0V",1,IF(B111="Common 3.3V",2)), W67, W11)</f>
        <v>142</v>
      </c>
      <c r="D121" s="48">
        <f>CHOOSE(IF(B111="Common 3.0V",1,IF(B111="Common 3.3V",2)), X67, X11)</f>
        <v>7.6</v>
      </c>
      <c r="E121" s="50">
        <f t="shared" si="42"/>
        <v>1065.5655556439792</v>
      </c>
      <c r="F121" s="200"/>
      <c r="G121" s="123"/>
      <c r="H121" s="123"/>
      <c r="I121" s="123"/>
      <c r="J121" s="200"/>
      <c r="K121" s="123"/>
      <c r="L121" s="123"/>
      <c r="M121" s="123"/>
      <c r="N121" s="200"/>
      <c r="O121" s="123"/>
      <c r="P121" s="123"/>
      <c r="Q121" s="123"/>
      <c r="R121" s="200"/>
      <c r="S121" s="123"/>
      <c r="T121" s="123"/>
      <c r="U121" s="123"/>
      <c r="V121" s="200"/>
      <c r="W121" s="123"/>
      <c r="X121" s="123"/>
      <c r="Y121" s="123"/>
    </row>
    <row r="122" spans="1:25" x14ac:dyDescent="0.25">
      <c r="A122" s="47">
        <v>9</v>
      </c>
      <c r="B122" s="47" t="s">
        <v>27</v>
      </c>
      <c r="C122" s="48">
        <f>CHOOSE(IF(B111="Common 3.0V",1,IF(B111="Common 3.3V",2)), W68, W12)</f>
        <v>168</v>
      </c>
      <c r="D122" s="48">
        <f>CHOOSE(IF(B111="Common 3.0V",1,IF(B111="Common 3.3V",2)), X68, X12)</f>
        <v>12.287948999999999</v>
      </c>
      <c r="E122" s="50">
        <f t="shared" si="42"/>
        <v>2116.7670720000001</v>
      </c>
      <c r="F122" s="200"/>
      <c r="G122" s="123"/>
      <c r="H122" s="124"/>
      <c r="I122" s="123"/>
      <c r="J122" s="200"/>
      <c r="K122" s="123"/>
      <c r="L122" s="123"/>
      <c r="M122" s="123"/>
      <c r="N122" s="200"/>
      <c r="O122" s="123"/>
      <c r="P122" s="123"/>
      <c r="Q122" s="123"/>
      <c r="R122" s="200"/>
      <c r="S122" s="123"/>
      <c r="T122" s="123"/>
      <c r="U122" s="123"/>
      <c r="V122" s="200"/>
      <c r="W122" s="123"/>
      <c r="X122" s="123"/>
      <c r="Y122" s="123"/>
    </row>
    <row r="123" spans="1:25" x14ac:dyDescent="0.25">
      <c r="A123" s="47">
        <v>10</v>
      </c>
      <c r="B123" s="47" t="s">
        <v>28</v>
      </c>
      <c r="C123" s="48">
        <f>CHOOSE(IF(B111="Common 3.0V",1,IF(B111="Common 3.3V",2)), W69, W13)</f>
        <v>116</v>
      </c>
      <c r="D123" s="48">
        <f>CHOOSE(IF(B111="Common 3.0V",1,IF(B111="Common 3.3V",2)), X69, X13)</f>
        <v>11.03</v>
      </c>
      <c r="E123" s="50">
        <f t="shared" si="42"/>
        <v>1263.3152493841349</v>
      </c>
      <c r="F123" s="200"/>
      <c r="G123" s="123"/>
      <c r="H123" s="123"/>
      <c r="I123" s="123"/>
      <c r="J123" s="200"/>
      <c r="K123" s="123"/>
      <c r="L123" s="123"/>
      <c r="M123" s="123"/>
      <c r="N123" s="200"/>
      <c r="O123" s="123"/>
      <c r="P123" s="123"/>
      <c r="Q123" s="123"/>
      <c r="R123" s="200"/>
      <c r="S123" s="123"/>
      <c r="T123" s="124"/>
      <c r="U123" s="123"/>
      <c r="V123" s="200"/>
      <c r="W123" s="123"/>
      <c r="X123" s="124"/>
      <c r="Y123" s="123"/>
    </row>
    <row r="124" spans="1:25" x14ac:dyDescent="0.25">
      <c r="A124" s="47">
        <v>11</v>
      </c>
      <c r="B124" s="47" t="s">
        <v>25</v>
      </c>
      <c r="C124" s="48">
        <f>CHOOSE(IF(B111="Common 3.0V",1,IF(B111="Common 3.3V",2)), W70, W14)</f>
        <v>168</v>
      </c>
      <c r="D124" s="48">
        <f>CHOOSE(IF(B111="Common 3.0V",1,IF(B111="Common 3.3V",2)), X70, X14)</f>
        <v>21.257753000000001</v>
      </c>
      <c r="E124" s="50">
        <f t="shared" si="42"/>
        <v>3526.1832255814443</v>
      </c>
      <c r="F124" s="200"/>
      <c r="G124" s="123"/>
      <c r="H124" s="123"/>
      <c r="I124" s="123"/>
      <c r="J124" s="200"/>
      <c r="K124" s="123"/>
      <c r="L124" s="123"/>
      <c r="M124" s="123"/>
      <c r="N124" s="200"/>
      <c r="O124" s="123"/>
      <c r="P124" s="123"/>
      <c r="Q124" s="123"/>
      <c r="R124" s="200"/>
      <c r="S124" s="123"/>
      <c r="T124" s="123"/>
      <c r="U124" s="123"/>
      <c r="V124" s="200"/>
      <c r="W124" s="123"/>
      <c r="X124" s="123"/>
      <c r="Y124" s="123"/>
    </row>
    <row r="125" spans="1:25" x14ac:dyDescent="0.25">
      <c r="A125" s="47">
        <v>12</v>
      </c>
      <c r="B125" s="47" t="s">
        <v>26</v>
      </c>
      <c r="C125" s="48">
        <f>CHOOSE(IF(B111="Common 3.0V",1,IF(B111="Common 3.3V",2)), W71, W15)</f>
        <v>136</v>
      </c>
      <c r="D125" s="48">
        <f>CHOOSE(IF(B111="Common 3.0V",1,IF(B111="Common 3.3V",2)), X71, X15)</f>
        <v>7.6</v>
      </c>
      <c r="E125" s="50">
        <f t="shared" si="42"/>
        <v>1020.541658926628</v>
      </c>
      <c r="F125" s="200"/>
      <c r="G125" s="123"/>
      <c r="H125" s="123"/>
      <c r="I125" s="123"/>
      <c r="J125" s="200"/>
      <c r="K125" s="123"/>
      <c r="L125" s="123"/>
      <c r="M125" s="123"/>
      <c r="N125" s="200"/>
      <c r="O125" s="123"/>
      <c r="P125" s="123"/>
      <c r="Q125" s="123"/>
      <c r="R125" s="200"/>
      <c r="S125" s="123"/>
      <c r="T125" s="123"/>
      <c r="U125" s="123"/>
      <c r="V125" s="200"/>
      <c r="W125" s="123"/>
      <c r="X125" s="123"/>
      <c r="Y125" s="123"/>
    </row>
    <row r="126" spans="1:25" x14ac:dyDescent="0.25">
      <c r="A126" s="47">
        <v>13</v>
      </c>
      <c r="B126" s="47" t="s">
        <v>27</v>
      </c>
      <c r="C126" s="48">
        <f>CHOOSE(IF(B111="Common 3.0V",1,IF(B111="Common 3.3V",2)), W72, W16)</f>
        <v>149</v>
      </c>
      <c r="D126" s="48">
        <f>CHOOSE(IF(B111="Common 3.0V",1,IF(B111="Common 3.3V",2)), X72, X16)</f>
        <v>12.556134</v>
      </c>
      <c r="E126" s="50">
        <f t="shared" si="42"/>
        <v>1908.10592</v>
      </c>
      <c r="F126" s="200"/>
      <c r="G126" s="123"/>
      <c r="H126" s="123"/>
      <c r="I126" s="123"/>
      <c r="J126" s="200"/>
      <c r="K126" s="123"/>
      <c r="L126" s="123"/>
      <c r="M126" s="123"/>
      <c r="N126" s="200"/>
      <c r="O126" s="123"/>
      <c r="P126" s="123"/>
      <c r="Q126" s="123"/>
      <c r="R126" s="200"/>
      <c r="S126" s="123"/>
      <c r="T126" s="123"/>
      <c r="U126" s="123"/>
      <c r="V126" s="200"/>
      <c r="W126" s="123"/>
      <c r="X126" s="123"/>
      <c r="Y126" s="123"/>
    </row>
    <row r="127" spans="1:25" x14ac:dyDescent="0.25">
      <c r="A127" s="47">
        <v>14</v>
      </c>
      <c r="B127" s="47" t="s">
        <v>29</v>
      </c>
      <c r="C127" s="48">
        <f>CHOOSE(IF(B111="Common 3.0V",1,IF(B111="Common 3.3V",2)), W73, W17)</f>
        <v>206</v>
      </c>
      <c r="D127" s="48">
        <f>CHOOSE(IF(B111="Common 3.0V",1,IF(B111="Common 3.3V",2)), X73, X17)</f>
        <v>9.0315530000000006</v>
      </c>
      <c r="E127" s="50">
        <f t="shared" si="42"/>
        <v>1652.6193440000002</v>
      </c>
      <c r="F127" s="200"/>
      <c r="G127" s="123"/>
      <c r="H127" s="123"/>
      <c r="I127" s="123"/>
      <c r="J127" s="200"/>
      <c r="K127" s="123"/>
      <c r="L127" s="123"/>
      <c r="M127" s="123"/>
      <c r="N127" s="200"/>
      <c r="O127" s="123"/>
      <c r="P127" s="123"/>
      <c r="Q127" s="123"/>
      <c r="R127" s="200"/>
      <c r="S127" s="123"/>
      <c r="T127" s="123"/>
      <c r="U127" s="123"/>
      <c r="V127" s="200"/>
      <c r="W127" s="123"/>
      <c r="X127" s="123"/>
      <c r="Y127" s="123"/>
    </row>
    <row r="128" spans="1:25" x14ac:dyDescent="0.25">
      <c r="B128" s="51"/>
      <c r="C128" s="48"/>
      <c r="D128" s="48"/>
      <c r="E128" s="50"/>
      <c r="F128" s="200"/>
      <c r="G128" s="123"/>
      <c r="H128" s="123"/>
      <c r="I128" s="123"/>
      <c r="J128" s="200"/>
      <c r="K128" s="123"/>
      <c r="L128" s="123"/>
      <c r="M128" s="123"/>
      <c r="N128" s="200"/>
      <c r="O128" s="123"/>
      <c r="P128" s="123"/>
      <c r="Q128" s="123"/>
      <c r="R128" s="200"/>
      <c r="S128" s="123"/>
      <c r="T128" s="123"/>
      <c r="U128" s="123"/>
      <c r="V128" s="200"/>
      <c r="W128" s="123"/>
      <c r="X128" s="123"/>
      <c r="Y128" s="123"/>
    </row>
    <row r="129" spans="1:25" x14ac:dyDescent="0.25">
      <c r="B129" s="51"/>
      <c r="C129" s="48"/>
      <c r="D129" s="48"/>
      <c r="E129" s="50"/>
      <c r="F129" s="200"/>
      <c r="G129" s="123"/>
      <c r="H129" s="123"/>
      <c r="I129" s="123"/>
      <c r="J129" s="200"/>
      <c r="K129" s="123"/>
      <c r="L129" s="123"/>
      <c r="M129" s="123"/>
      <c r="N129" s="200"/>
      <c r="O129" s="123"/>
      <c r="P129" s="123"/>
      <c r="Q129" s="123"/>
      <c r="R129" s="200"/>
      <c r="S129" s="123"/>
      <c r="T129" s="123"/>
      <c r="U129" s="123"/>
      <c r="V129" s="200"/>
      <c r="W129" s="123"/>
      <c r="X129" s="123"/>
      <c r="Y129" s="123"/>
    </row>
    <row r="130" spans="1:25" x14ac:dyDescent="0.25">
      <c r="B130" s="52" t="s">
        <v>71</v>
      </c>
      <c r="C130" s="53">
        <f>SUM(C114:C127)</f>
        <v>2245</v>
      </c>
      <c r="D130" s="54"/>
      <c r="E130" s="23"/>
      <c r="F130" s="200"/>
      <c r="G130" s="123"/>
      <c r="H130" s="123"/>
      <c r="I130" s="123"/>
      <c r="J130" s="200"/>
      <c r="K130" s="123"/>
      <c r="L130" s="123"/>
      <c r="M130" s="123"/>
      <c r="N130" s="200"/>
      <c r="O130" s="123"/>
      <c r="P130" s="123"/>
      <c r="Q130" s="123"/>
      <c r="R130" s="200"/>
      <c r="S130" s="123"/>
      <c r="T130" s="123"/>
      <c r="U130" s="123"/>
      <c r="V130" s="200"/>
      <c r="W130" s="123"/>
      <c r="X130" s="123"/>
      <c r="Y130" s="123"/>
    </row>
    <row r="131" spans="1:25" x14ac:dyDescent="0.25">
      <c r="B131" s="55" t="s">
        <v>72</v>
      </c>
      <c r="C131" s="56"/>
      <c r="D131" s="57"/>
      <c r="E131" s="58">
        <f>SUM(E114:E127)</f>
        <v>27482.452024189144</v>
      </c>
      <c r="F131" s="200"/>
      <c r="G131" s="202"/>
      <c r="H131" s="202"/>
      <c r="I131" s="202"/>
      <c r="J131" s="200"/>
      <c r="K131" s="202"/>
      <c r="L131" s="202"/>
      <c r="M131" s="202"/>
      <c r="N131" s="200"/>
      <c r="O131" s="202"/>
      <c r="P131" s="202"/>
      <c r="Q131" s="202"/>
      <c r="R131" s="200"/>
      <c r="S131" s="202"/>
      <c r="T131" s="202"/>
      <c r="U131" s="202"/>
      <c r="V131" s="200"/>
      <c r="W131" s="202"/>
      <c r="X131" s="202"/>
      <c r="Y131" s="202"/>
    </row>
    <row r="132" spans="1:25" ht="26.25" x14ac:dyDescent="0.25">
      <c r="B132" s="59" t="s">
        <v>73</v>
      </c>
      <c r="C132" s="60"/>
      <c r="D132" s="12"/>
      <c r="E132" s="61">
        <f>(E131/C130)*1000</f>
        <v>12241.626736832581</v>
      </c>
      <c r="F132" s="200"/>
      <c r="G132" s="202"/>
      <c r="H132" s="202"/>
      <c r="I132" s="202"/>
      <c r="J132" s="200"/>
      <c r="K132" s="202"/>
      <c r="L132" s="202"/>
      <c r="M132" s="202"/>
      <c r="N132" s="200"/>
      <c r="O132" s="202"/>
      <c r="P132" s="202"/>
      <c r="Q132" s="202"/>
      <c r="R132" s="200"/>
      <c r="S132" s="202"/>
      <c r="T132" s="202"/>
      <c r="U132" s="202"/>
      <c r="V132" s="200"/>
      <c r="W132" s="202"/>
      <c r="X132" s="202"/>
      <c r="Y132" s="202"/>
    </row>
    <row r="133" spans="1:25" x14ac:dyDescent="0.25"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</row>
    <row r="134" spans="1:25" x14ac:dyDescent="0.25">
      <c r="F134" s="82"/>
      <c r="G134" s="123"/>
      <c r="H134" s="123"/>
      <c r="I134" s="123"/>
      <c r="J134" s="82"/>
      <c r="K134" s="123"/>
      <c r="L134" s="123"/>
      <c r="M134" s="123"/>
      <c r="N134" s="82"/>
      <c r="O134" s="123"/>
      <c r="P134" s="123"/>
      <c r="Q134" s="123"/>
      <c r="R134" s="82"/>
      <c r="S134" s="123"/>
      <c r="T134" s="123"/>
      <c r="U134" s="123"/>
      <c r="V134" s="82"/>
      <c r="W134" s="123"/>
      <c r="X134" s="123"/>
      <c r="Y134" s="123"/>
    </row>
    <row r="136" spans="1:25" ht="15" customHeight="1" x14ac:dyDescent="0.25">
      <c r="A136" s="176" t="s">
        <v>59</v>
      </c>
      <c r="B136" s="176"/>
      <c r="C136" s="194" t="s">
        <v>203</v>
      </c>
      <c r="D136" s="195"/>
      <c r="E136" s="196"/>
      <c r="F136" s="190"/>
      <c r="G136" s="194" t="s">
        <v>211</v>
      </c>
      <c r="H136" s="195"/>
      <c r="I136" s="196"/>
      <c r="J136" s="190"/>
      <c r="K136" s="194" t="s">
        <v>213</v>
      </c>
      <c r="L136" s="195"/>
      <c r="M136" s="196"/>
      <c r="N136" s="190"/>
      <c r="O136" s="194" t="s">
        <v>216</v>
      </c>
      <c r="P136" s="195"/>
      <c r="Q136" s="196"/>
      <c r="R136" s="190"/>
      <c r="S136" s="194" t="s">
        <v>215</v>
      </c>
      <c r="T136" s="195"/>
      <c r="U136" s="196"/>
    </row>
    <row r="137" spans="1:25" x14ac:dyDescent="0.25">
      <c r="A137" s="176"/>
      <c r="B137" s="176"/>
      <c r="C137" s="197"/>
      <c r="D137" s="198"/>
      <c r="E137" s="199"/>
      <c r="F137" s="191"/>
      <c r="G137" s="197"/>
      <c r="H137" s="198"/>
      <c r="I137" s="199"/>
      <c r="J137" s="191"/>
      <c r="K137" s="197"/>
      <c r="L137" s="198"/>
      <c r="M137" s="199"/>
      <c r="N137" s="191"/>
      <c r="O137" s="197"/>
      <c r="P137" s="198"/>
      <c r="Q137" s="199"/>
      <c r="R137" s="191"/>
      <c r="S137" s="197"/>
      <c r="T137" s="198"/>
      <c r="U137" s="199"/>
    </row>
    <row r="138" spans="1:25" ht="45" x14ac:dyDescent="0.25">
      <c r="A138" s="5"/>
      <c r="B138" s="5" t="s">
        <v>19</v>
      </c>
      <c r="C138" s="77" t="s">
        <v>53</v>
      </c>
      <c r="D138" s="77" t="s">
        <v>54</v>
      </c>
      <c r="E138" s="77" t="s">
        <v>55</v>
      </c>
      <c r="F138" s="191"/>
      <c r="G138" s="77" t="s">
        <v>53</v>
      </c>
      <c r="H138" s="77" t="s">
        <v>54</v>
      </c>
      <c r="I138" s="77" t="s">
        <v>55</v>
      </c>
      <c r="J138" s="191"/>
      <c r="K138" s="77" t="s">
        <v>53</v>
      </c>
      <c r="L138" s="77" t="s">
        <v>54</v>
      </c>
      <c r="M138" s="77" t="s">
        <v>55</v>
      </c>
      <c r="N138" s="191"/>
      <c r="O138" s="77" t="s">
        <v>53</v>
      </c>
      <c r="P138" s="77" t="s">
        <v>54</v>
      </c>
      <c r="Q138" s="77" t="s">
        <v>55</v>
      </c>
      <c r="R138" s="191"/>
      <c r="S138" s="77" t="s">
        <v>53</v>
      </c>
      <c r="T138" s="77" t="s">
        <v>54</v>
      </c>
      <c r="U138" s="77" t="s">
        <v>55</v>
      </c>
    </row>
    <row r="139" spans="1:25" x14ac:dyDescent="0.25">
      <c r="A139" s="5">
        <v>1</v>
      </c>
      <c r="B139" s="5" t="s">
        <v>23</v>
      </c>
      <c r="C139" s="78">
        <v>290</v>
      </c>
      <c r="D139" s="116">
        <v>8.3905799999999999</v>
      </c>
      <c r="E139" s="77">
        <f>C139*D139</f>
        <v>2433.2682</v>
      </c>
      <c r="F139" s="191"/>
      <c r="G139" s="78">
        <v>286</v>
      </c>
      <c r="H139" s="116">
        <v>6.6579179999999996</v>
      </c>
      <c r="I139" s="77">
        <f>G139*H139</f>
        <v>1904.164548</v>
      </c>
      <c r="J139" s="191"/>
      <c r="K139" s="78">
        <v>285</v>
      </c>
      <c r="L139" s="78">
        <v>7.905748</v>
      </c>
      <c r="M139" s="77">
        <f>K139*L139</f>
        <v>2253.1381799999999</v>
      </c>
      <c r="N139" s="191"/>
      <c r="O139" s="78">
        <v>295</v>
      </c>
      <c r="P139" s="78">
        <v>8.7281130000000005</v>
      </c>
      <c r="Q139" s="77">
        <f>O139*P139</f>
        <v>2574.7933350000003</v>
      </c>
      <c r="R139" s="191"/>
      <c r="S139" s="78">
        <v>288</v>
      </c>
      <c r="T139" s="116">
        <v>7.1190730000000002</v>
      </c>
      <c r="U139" s="77">
        <f>S139*T139</f>
        <v>2050.2930240000001</v>
      </c>
    </row>
    <row r="140" spans="1:25" x14ac:dyDescent="0.25">
      <c r="A140" s="5">
        <v>2</v>
      </c>
      <c r="B140" s="5" t="s">
        <v>24</v>
      </c>
      <c r="C140" s="119">
        <v>111</v>
      </c>
      <c r="D140" s="78">
        <v>10.723922999999999</v>
      </c>
      <c r="E140" s="77">
        <f t="shared" ref="E140:E152" si="43">C140*D140</f>
        <v>1190.3554529999999</v>
      </c>
      <c r="F140" s="191"/>
      <c r="G140" s="78">
        <v>146</v>
      </c>
      <c r="H140" s="78">
        <v>11.485417</v>
      </c>
      <c r="I140" s="77">
        <f t="shared" ref="I140:I152" si="44">G140*H140</f>
        <v>1676.8708819999999</v>
      </c>
      <c r="J140" s="191"/>
      <c r="K140" s="78">
        <v>121</v>
      </c>
      <c r="L140" s="78">
        <v>12.5</v>
      </c>
      <c r="M140" s="77">
        <f t="shared" ref="M140:M152" si="45">K140*L140</f>
        <v>1512.5</v>
      </c>
      <c r="N140" s="191"/>
      <c r="O140" s="78">
        <v>110</v>
      </c>
      <c r="P140" s="78">
        <v>13.072851999999999</v>
      </c>
      <c r="Q140" s="77">
        <f t="shared" ref="Q140:Q152" si="46">O140*P140</f>
        <v>1438.0137199999999</v>
      </c>
      <c r="R140" s="191"/>
      <c r="S140" s="78">
        <v>124</v>
      </c>
      <c r="T140" s="78">
        <v>10.001773</v>
      </c>
      <c r="U140" s="77">
        <f t="shared" ref="U140:U152" si="47">S140*T140</f>
        <v>1240.2198519999999</v>
      </c>
    </row>
    <row r="141" spans="1:25" x14ac:dyDescent="0.25">
      <c r="A141" s="95">
        <v>3</v>
      </c>
      <c r="B141" s="95" t="s">
        <v>25</v>
      </c>
      <c r="C141" s="96">
        <v>192</v>
      </c>
      <c r="D141" s="96">
        <v>19.7973</v>
      </c>
      <c r="E141" s="77">
        <f t="shared" si="43"/>
        <v>3801.0816</v>
      </c>
      <c r="F141" s="191"/>
      <c r="G141" s="96">
        <v>164</v>
      </c>
      <c r="H141" s="96">
        <v>21.341958999999999</v>
      </c>
      <c r="I141" s="77">
        <f t="shared" si="44"/>
        <v>3500.0812759999999</v>
      </c>
      <c r="J141" s="191"/>
      <c r="K141" s="96">
        <v>187</v>
      </c>
      <c r="L141" s="96">
        <v>40.433478000000001</v>
      </c>
      <c r="M141" s="77">
        <f t="shared" si="45"/>
        <v>7561.0603860000001</v>
      </c>
      <c r="N141" s="191"/>
      <c r="O141" s="96">
        <v>191</v>
      </c>
      <c r="P141" s="96">
        <v>45.016686999999997</v>
      </c>
      <c r="Q141" s="77">
        <f t="shared" si="46"/>
        <v>8598.1872169999988</v>
      </c>
      <c r="R141" s="191"/>
      <c r="S141" s="96">
        <v>185</v>
      </c>
      <c r="T141" s="96">
        <v>48.085529000000001</v>
      </c>
      <c r="U141" s="77">
        <f t="shared" si="47"/>
        <v>8895.8228650000001</v>
      </c>
    </row>
    <row r="142" spans="1:25" x14ac:dyDescent="0.25">
      <c r="A142" s="118">
        <v>4</v>
      </c>
      <c r="B142" s="118" t="s">
        <v>26</v>
      </c>
      <c r="C142" s="119">
        <v>135</v>
      </c>
      <c r="D142" s="119">
        <v>7.4</v>
      </c>
      <c r="E142" s="77">
        <f t="shared" si="43"/>
        <v>999</v>
      </c>
      <c r="F142" s="191"/>
      <c r="G142" s="119">
        <v>146</v>
      </c>
      <c r="H142" s="119">
        <v>7.65</v>
      </c>
      <c r="I142" s="77">
        <f t="shared" si="44"/>
        <v>1116.9000000000001</v>
      </c>
      <c r="J142" s="191"/>
      <c r="K142" s="119">
        <v>144</v>
      </c>
      <c r="L142" s="119">
        <v>8.3000000000000007</v>
      </c>
      <c r="M142" s="77">
        <f t="shared" si="45"/>
        <v>1195.2</v>
      </c>
      <c r="N142" s="191"/>
      <c r="O142" s="119">
        <v>140</v>
      </c>
      <c r="P142" s="119">
        <v>8.4</v>
      </c>
      <c r="Q142" s="77">
        <f t="shared" si="46"/>
        <v>1176</v>
      </c>
      <c r="R142" s="191"/>
      <c r="S142" s="119">
        <v>144</v>
      </c>
      <c r="T142" s="119">
        <v>10</v>
      </c>
      <c r="U142" s="77">
        <f t="shared" si="47"/>
        <v>1440</v>
      </c>
    </row>
    <row r="143" spans="1:25" x14ac:dyDescent="0.25">
      <c r="A143" s="5">
        <v>5</v>
      </c>
      <c r="B143" s="5" t="s">
        <v>27</v>
      </c>
      <c r="C143" s="78">
        <v>166</v>
      </c>
      <c r="D143" s="78">
        <v>12.331105000000001</v>
      </c>
      <c r="E143" s="77">
        <f t="shared" si="43"/>
        <v>2046.9634300000002</v>
      </c>
      <c r="F143" s="191"/>
      <c r="G143" s="78">
        <v>158</v>
      </c>
      <c r="H143" s="78">
        <v>12.483597</v>
      </c>
      <c r="I143" s="77">
        <f t="shared" si="44"/>
        <v>1972.408326</v>
      </c>
      <c r="J143" s="191"/>
      <c r="K143" s="78">
        <v>204</v>
      </c>
      <c r="L143" s="116">
        <v>13.171109</v>
      </c>
      <c r="M143" s="77">
        <f t="shared" si="45"/>
        <v>2686.9062359999998</v>
      </c>
      <c r="N143" s="191"/>
      <c r="O143" s="78">
        <v>163</v>
      </c>
      <c r="P143" s="78">
        <v>12.119177000000001</v>
      </c>
      <c r="Q143" s="77">
        <f>O143*P143</f>
        <v>1975.4258510000002</v>
      </c>
      <c r="R143" s="191"/>
      <c r="S143" s="78">
        <v>247</v>
      </c>
      <c r="T143" s="78">
        <v>12.410481000000001</v>
      </c>
      <c r="U143" s="77">
        <f t="shared" si="47"/>
        <v>3065.3888070000003</v>
      </c>
    </row>
    <row r="144" spans="1:25" x14ac:dyDescent="0.25">
      <c r="A144" s="118">
        <v>6</v>
      </c>
      <c r="B144" s="118" t="s">
        <v>28</v>
      </c>
      <c r="C144" s="119">
        <v>114</v>
      </c>
      <c r="D144" s="119">
        <v>12.175242000000001</v>
      </c>
      <c r="E144" s="77">
        <f t="shared" si="43"/>
        <v>1387.9775880000002</v>
      </c>
      <c r="F144" s="191"/>
      <c r="G144" s="119">
        <v>110</v>
      </c>
      <c r="H144" s="119">
        <v>11.037190000000001</v>
      </c>
      <c r="I144" s="77">
        <f t="shared" si="44"/>
        <v>1214.0909000000001</v>
      </c>
      <c r="J144" s="191"/>
      <c r="K144" s="119">
        <v>161</v>
      </c>
      <c r="L144" s="119">
        <v>10.732015000000001</v>
      </c>
      <c r="M144" s="77">
        <f t="shared" si="45"/>
        <v>1727.854415</v>
      </c>
      <c r="N144" s="191"/>
      <c r="O144" s="119">
        <v>104</v>
      </c>
      <c r="P144" s="119">
        <v>12.113783</v>
      </c>
      <c r="Q144" s="77">
        <f t="shared" si="46"/>
        <v>1259.8334319999999</v>
      </c>
      <c r="R144" s="191"/>
      <c r="S144" s="119">
        <v>122</v>
      </c>
      <c r="T144" s="119">
        <v>10.952419000000001</v>
      </c>
      <c r="U144" s="77">
        <f t="shared" si="47"/>
        <v>1336.1951180000001</v>
      </c>
    </row>
    <row r="145" spans="1:21" x14ac:dyDescent="0.25">
      <c r="A145" s="95">
        <v>7</v>
      </c>
      <c r="B145" s="95" t="s">
        <v>25</v>
      </c>
      <c r="C145" s="96">
        <v>187</v>
      </c>
      <c r="D145" s="96">
        <v>19.196518000000001</v>
      </c>
      <c r="E145" s="77">
        <f t="shared" si="43"/>
        <v>3589.7488660000004</v>
      </c>
      <c r="F145" s="191"/>
      <c r="G145" s="96">
        <v>179</v>
      </c>
      <c r="H145" s="117">
        <v>20.763255000000001</v>
      </c>
      <c r="I145" s="77">
        <f t="shared" si="44"/>
        <v>3716.6226450000004</v>
      </c>
      <c r="J145" s="191"/>
      <c r="K145" s="96">
        <v>188</v>
      </c>
      <c r="L145" s="117">
        <v>40.068192000000003</v>
      </c>
      <c r="M145" s="77">
        <f t="shared" si="45"/>
        <v>7532.8200960000004</v>
      </c>
      <c r="N145" s="191"/>
      <c r="O145" s="96">
        <v>191</v>
      </c>
      <c r="P145" s="96">
        <v>44.715423999999999</v>
      </c>
      <c r="Q145" s="77">
        <f t="shared" si="46"/>
        <v>8540.6459839999989</v>
      </c>
      <c r="R145" s="191"/>
      <c r="S145" s="96">
        <v>185</v>
      </c>
      <c r="T145" s="96">
        <v>48.243203999999999</v>
      </c>
      <c r="U145" s="77">
        <f t="shared" si="47"/>
        <v>8924.9927399999997</v>
      </c>
    </row>
    <row r="146" spans="1:21" x14ac:dyDescent="0.25">
      <c r="A146" s="118">
        <v>8</v>
      </c>
      <c r="B146" s="118" t="s">
        <v>26</v>
      </c>
      <c r="C146" s="119">
        <v>139</v>
      </c>
      <c r="D146" s="119">
        <v>7.4086869999999996</v>
      </c>
      <c r="E146" s="77">
        <f t="shared" si="43"/>
        <v>1029.807493</v>
      </c>
      <c r="F146" s="191"/>
      <c r="G146" s="119">
        <v>166</v>
      </c>
      <c r="H146" s="119">
        <v>10.172526</v>
      </c>
      <c r="I146" s="77">
        <f t="shared" si="44"/>
        <v>1688.639316</v>
      </c>
      <c r="J146" s="191"/>
      <c r="K146" s="119">
        <v>143</v>
      </c>
      <c r="L146" s="119">
        <v>10.000864</v>
      </c>
      <c r="M146" s="77">
        <f t="shared" si="45"/>
        <v>1430.123552</v>
      </c>
      <c r="N146" s="191"/>
      <c r="O146" s="119">
        <v>138</v>
      </c>
      <c r="P146" s="119">
        <v>7.226261</v>
      </c>
      <c r="Q146" s="77">
        <f t="shared" si="46"/>
        <v>997.224018</v>
      </c>
      <c r="R146" s="191"/>
      <c r="S146" s="119">
        <v>142</v>
      </c>
      <c r="T146" s="119">
        <v>15.103021999999999</v>
      </c>
      <c r="U146" s="77">
        <f t="shared" si="47"/>
        <v>2144.629124</v>
      </c>
    </row>
    <row r="147" spans="1:21" x14ac:dyDescent="0.25">
      <c r="A147" s="5">
        <v>9</v>
      </c>
      <c r="B147" s="5" t="s">
        <v>27</v>
      </c>
      <c r="C147" s="78">
        <v>162</v>
      </c>
      <c r="D147" s="78">
        <v>12.294114</v>
      </c>
      <c r="E147" s="77">
        <f t="shared" si="43"/>
        <v>1991.6464680000001</v>
      </c>
      <c r="F147" s="191"/>
      <c r="G147" s="78">
        <v>143</v>
      </c>
      <c r="H147" s="78">
        <v>12.318293000000001</v>
      </c>
      <c r="I147" s="77">
        <f t="shared" si="44"/>
        <v>1761.515899</v>
      </c>
      <c r="J147" s="191"/>
      <c r="K147" s="78">
        <v>162</v>
      </c>
      <c r="L147" s="78">
        <v>12.218334</v>
      </c>
      <c r="M147" s="77">
        <f t="shared" si="45"/>
        <v>1979.3701080000001</v>
      </c>
      <c r="N147" s="191"/>
      <c r="O147" s="78">
        <v>163</v>
      </c>
      <c r="P147" s="78">
        <v>12.381197</v>
      </c>
      <c r="Q147" s="77">
        <f t="shared" si="46"/>
        <v>2018.1351110000001</v>
      </c>
      <c r="R147" s="191"/>
      <c r="S147" s="78">
        <v>163</v>
      </c>
      <c r="T147" s="78">
        <v>12.02336</v>
      </c>
      <c r="U147" s="77">
        <f>S147*T147</f>
        <v>1959.8076800000001</v>
      </c>
    </row>
    <row r="148" spans="1:21" x14ac:dyDescent="0.25">
      <c r="A148" s="118">
        <v>10</v>
      </c>
      <c r="B148" s="118" t="s">
        <v>28</v>
      </c>
      <c r="C148" s="119">
        <v>112</v>
      </c>
      <c r="D148" s="119">
        <v>11.1</v>
      </c>
      <c r="E148" s="77">
        <f t="shared" si="43"/>
        <v>1243.2</v>
      </c>
      <c r="F148" s="191"/>
      <c r="G148" s="119">
        <v>116</v>
      </c>
      <c r="H148" s="119">
        <v>11.8</v>
      </c>
      <c r="I148" s="77">
        <f t="shared" si="44"/>
        <v>1368.8000000000002</v>
      </c>
      <c r="J148" s="191"/>
      <c r="K148" s="119">
        <v>118</v>
      </c>
      <c r="L148" s="119">
        <v>14.699299</v>
      </c>
      <c r="M148" s="77">
        <f t="shared" si="45"/>
        <v>1734.517282</v>
      </c>
      <c r="N148" s="191"/>
      <c r="O148" s="119">
        <v>118</v>
      </c>
      <c r="P148" s="119">
        <v>14.972685999999999</v>
      </c>
      <c r="Q148" s="77">
        <f t="shared" si="46"/>
        <v>1766.7769479999999</v>
      </c>
      <c r="R148" s="191"/>
      <c r="S148" s="119">
        <v>105</v>
      </c>
      <c r="T148" s="119">
        <v>17.100000000000001</v>
      </c>
      <c r="U148" s="77">
        <f t="shared" si="47"/>
        <v>1795.5000000000002</v>
      </c>
    </row>
    <row r="149" spans="1:21" x14ac:dyDescent="0.25">
      <c r="A149" s="95">
        <v>11</v>
      </c>
      <c r="B149" s="95" t="s">
        <v>25</v>
      </c>
      <c r="C149" s="96">
        <v>181</v>
      </c>
      <c r="D149" s="96">
        <v>18.596648999999999</v>
      </c>
      <c r="E149" s="77">
        <f t="shared" si="43"/>
        <v>3365.993469</v>
      </c>
      <c r="F149" s="191"/>
      <c r="G149" s="96">
        <v>193</v>
      </c>
      <c r="H149" s="117">
        <v>19.350918</v>
      </c>
      <c r="I149" s="77">
        <f t="shared" si="44"/>
        <v>3734.7271740000001</v>
      </c>
      <c r="J149" s="191"/>
      <c r="K149" s="96">
        <v>172</v>
      </c>
      <c r="L149" s="96">
        <v>41.163125999999998</v>
      </c>
      <c r="M149" s="77">
        <f t="shared" si="45"/>
        <v>7080.0576719999999</v>
      </c>
      <c r="N149" s="191"/>
      <c r="O149" s="96">
        <v>185</v>
      </c>
      <c r="P149" s="96">
        <v>43.359017000000001</v>
      </c>
      <c r="Q149" s="77">
        <f t="shared" si="46"/>
        <v>8021.4181450000005</v>
      </c>
      <c r="R149" s="191"/>
      <c r="S149" s="96">
        <v>183</v>
      </c>
      <c r="T149" s="96">
        <v>45.143126000000002</v>
      </c>
      <c r="U149" s="77">
        <f t="shared" si="47"/>
        <v>8261.1920580000005</v>
      </c>
    </row>
    <row r="150" spans="1:21" x14ac:dyDescent="0.25">
      <c r="A150" s="118">
        <v>12</v>
      </c>
      <c r="B150" s="118" t="s">
        <v>26</v>
      </c>
      <c r="C150" s="119">
        <v>139</v>
      </c>
      <c r="D150" s="119">
        <v>7.5303000000000004</v>
      </c>
      <c r="E150" s="77">
        <f t="shared" si="43"/>
        <v>1046.7117000000001</v>
      </c>
      <c r="F150" s="191"/>
      <c r="G150" s="119">
        <v>143</v>
      </c>
      <c r="H150" s="119">
        <v>8.1888830000000006</v>
      </c>
      <c r="I150" s="77">
        <f t="shared" si="44"/>
        <v>1171.0102690000001</v>
      </c>
      <c r="J150" s="191"/>
      <c r="K150" s="119">
        <v>143</v>
      </c>
      <c r="L150" s="119">
        <v>10.725657</v>
      </c>
      <c r="M150" s="77">
        <f t="shared" si="45"/>
        <v>1533.768951</v>
      </c>
      <c r="N150" s="191"/>
      <c r="O150" s="119">
        <v>138</v>
      </c>
      <c r="P150" s="119">
        <v>7.7483769999999996</v>
      </c>
      <c r="Q150" s="77">
        <f t="shared" si="46"/>
        <v>1069.276026</v>
      </c>
      <c r="R150" s="191"/>
      <c r="S150" s="119">
        <v>147</v>
      </c>
      <c r="T150" s="119">
        <v>15.063815</v>
      </c>
      <c r="U150" s="77">
        <f t="shared" si="47"/>
        <v>2214.3808049999998</v>
      </c>
    </row>
    <row r="151" spans="1:21" x14ac:dyDescent="0.25">
      <c r="A151" s="5">
        <v>13</v>
      </c>
      <c r="B151" s="5" t="s">
        <v>27</v>
      </c>
      <c r="C151" s="78">
        <v>162</v>
      </c>
      <c r="D151" s="78">
        <v>14.597574</v>
      </c>
      <c r="E151" s="77">
        <f t="shared" si="43"/>
        <v>2364.8069879999998</v>
      </c>
      <c r="F151" s="191"/>
      <c r="G151" s="78">
        <v>166</v>
      </c>
      <c r="H151" s="78">
        <v>12.6874</v>
      </c>
      <c r="I151" s="77">
        <f t="shared" si="44"/>
        <v>2106.1084000000001</v>
      </c>
      <c r="J151" s="191"/>
      <c r="K151" s="78">
        <v>165</v>
      </c>
      <c r="L151" s="78">
        <v>12.591326</v>
      </c>
      <c r="M151" s="77">
        <f t="shared" si="45"/>
        <v>2077.5687900000003</v>
      </c>
      <c r="N151" s="191"/>
      <c r="O151" s="78">
        <v>160</v>
      </c>
      <c r="P151" s="78">
        <v>12.498335000000001</v>
      </c>
      <c r="Q151" s="77">
        <f t="shared" si="46"/>
        <v>1999.7336</v>
      </c>
      <c r="R151" s="191"/>
      <c r="S151" s="78">
        <v>164</v>
      </c>
      <c r="T151" s="78">
        <v>12.565894999999999</v>
      </c>
      <c r="U151" s="77">
        <f t="shared" si="47"/>
        <v>2060.8067799999999</v>
      </c>
    </row>
    <row r="152" spans="1:21" x14ac:dyDescent="0.25">
      <c r="A152" s="5">
        <v>14</v>
      </c>
      <c r="B152" s="5" t="s">
        <v>29</v>
      </c>
      <c r="C152" s="78">
        <v>198</v>
      </c>
      <c r="D152" s="78">
        <v>8.4292090000000002</v>
      </c>
      <c r="E152" s="77">
        <f t="shared" si="43"/>
        <v>1668.9833820000001</v>
      </c>
      <c r="F152" s="191"/>
      <c r="G152" s="78">
        <v>207</v>
      </c>
      <c r="H152" s="78">
        <v>7.32653</v>
      </c>
      <c r="I152" s="77">
        <f t="shared" si="44"/>
        <v>1516.5917099999999</v>
      </c>
      <c r="J152" s="191"/>
      <c r="K152" s="78">
        <v>210</v>
      </c>
      <c r="L152" s="78">
        <v>7.9715610000000003</v>
      </c>
      <c r="M152" s="77">
        <f t="shared" si="45"/>
        <v>1674.02781</v>
      </c>
      <c r="N152" s="191"/>
      <c r="O152" s="78">
        <v>197</v>
      </c>
      <c r="P152" s="78">
        <v>8.4021150000000002</v>
      </c>
      <c r="Q152" s="77">
        <f t="shared" si="46"/>
        <v>1655.2166549999999</v>
      </c>
      <c r="R152" s="191"/>
      <c r="S152" s="78">
        <v>198</v>
      </c>
      <c r="T152" s="78">
        <v>8.6288450000000001</v>
      </c>
      <c r="U152" s="77">
        <f t="shared" si="47"/>
        <v>1708.5113100000001</v>
      </c>
    </row>
    <row r="153" spans="1:21" x14ac:dyDescent="0.25">
      <c r="A153" s="5">
        <v>15</v>
      </c>
      <c r="B153" s="5" t="s">
        <v>60</v>
      </c>
      <c r="C153" s="78"/>
      <c r="D153" s="78"/>
      <c r="E153" s="77"/>
      <c r="F153" s="191"/>
      <c r="G153" s="78"/>
      <c r="H153" s="78"/>
      <c r="I153" s="77"/>
      <c r="J153" s="191"/>
      <c r="K153" s="78"/>
      <c r="L153" s="78"/>
      <c r="M153" s="77"/>
      <c r="N153" s="191"/>
      <c r="O153" s="78"/>
      <c r="P153" s="78"/>
      <c r="Q153" s="77"/>
      <c r="R153" s="191"/>
      <c r="S153" s="78"/>
      <c r="T153" s="78"/>
      <c r="U153" s="77"/>
    </row>
    <row r="154" spans="1:21" x14ac:dyDescent="0.25">
      <c r="A154" s="79"/>
      <c r="B154" s="5" t="s">
        <v>56</v>
      </c>
      <c r="C154" s="173">
        <f>SUM(C139:C153)</f>
        <v>2288</v>
      </c>
      <c r="D154" s="174"/>
      <c r="E154" s="175"/>
      <c r="F154" s="191"/>
      <c r="G154" s="184">
        <f>SUM(G139:G152)</f>
        <v>2323</v>
      </c>
      <c r="H154" s="185"/>
      <c r="I154" s="186"/>
      <c r="J154" s="191"/>
      <c r="K154" s="184">
        <f>SUM(K139:K152)</f>
        <v>2403</v>
      </c>
      <c r="L154" s="185"/>
      <c r="M154" s="186"/>
      <c r="N154" s="191"/>
      <c r="O154" s="184">
        <f>SUM(O139:O152)</f>
        <v>2293</v>
      </c>
      <c r="P154" s="185"/>
      <c r="Q154" s="186"/>
      <c r="R154" s="191"/>
      <c r="S154" s="184">
        <f>SUM(S139:S152)</f>
        <v>2397</v>
      </c>
      <c r="T154" s="185"/>
      <c r="U154" s="186"/>
    </row>
    <row r="155" spans="1:21" x14ac:dyDescent="0.25">
      <c r="A155" s="79"/>
      <c r="B155" s="5" t="s">
        <v>57</v>
      </c>
      <c r="C155" s="173">
        <f>SUM(E139:E152)/C154</f>
        <v>12.307493285402098</v>
      </c>
      <c r="D155" s="174"/>
      <c r="E155" s="175"/>
      <c r="F155" s="192"/>
      <c r="G155" s="184">
        <f>SUM(I139:I152)/G154</f>
        <v>12.246462051226864</v>
      </c>
      <c r="H155" s="185"/>
      <c r="I155" s="186"/>
      <c r="J155" s="192"/>
      <c r="K155" s="184">
        <f>SUM(M139:M152)/K154</f>
        <v>17.469377227632123</v>
      </c>
      <c r="L155" s="185"/>
      <c r="M155" s="186"/>
      <c r="N155" s="192"/>
      <c r="O155" s="184">
        <f>SUM(Q139:Q152)/O154</f>
        <v>18.792272150894021</v>
      </c>
      <c r="P155" s="185"/>
      <c r="Q155" s="186"/>
      <c r="R155" s="192"/>
      <c r="S155" s="184">
        <f>SUM(U139:U152)/S154</f>
        <v>19.648619175219025</v>
      </c>
      <c r="T155" s="185"/>
      <c r="U155" s="186"/>
    </row>
    <row r="156" spans="1:21" x14ac:dyDescent="0.25">
      <c r="D156" t="s">
        <v>61</v>
      </c>
      <c r="E156" t="s">
        <v>62</v>
      </c>
      <c r="H156" t="s">
        <v>61</v>
      </c>
      <c r="I156" t="s">
        <v>62</v>
      </c>
      <c r="L156" t="s">
        <v>61</v>
      </c>
      <c r="M156" t="s">
        <v>62</v>
      </c>
      <c r="P156" t="s">
        <v>61</v>
      </c>
      <c r="Q156" t="s">
        <v>62</v>
      </c>
      <c r="T156" t="s">
        <v>61</v>
      </c>
      <c r="U156" t="s">
        <v>62</v>
      </c>
    </row>
    <row r="157" spans="1:21" x14ac:dyDescent="0.25">
      <c r="B157" s="5" t="s">
        <v>60</v>
      </c>
      <c r="C157" s="78">
        <v>19145</v>
      </c>
      <c r="D157" s="78">
        <v>0.27974399999999999</v>
      </c>
      <c r="E157" s="77">
        <v>3.2030000000000001E-3</v>
      </c>
      <c r="G157" s="78"/>
      <c r="H157" s="78"/>
      <c r="I157" s="77"/>
      <c r="K157" s="78"/>
      <c r="L157" s="78"/>
      <c r="M157" s="78"/>
      <c r="O157" s="78"/>
      <c r="P157" s="78"/>
      <c r="Q157" s="77"/>
      <c r="S157" s="78"/>
      <c r="T157" s="78"/>
      <c r="U157" s="77"/>
    </row>
    <row r="158" spans="1:21" x14ac:dyDescent="0.25">
      <c r="C158">
        <v>209377</v>
      </c>
    </row>
    <row r="159" spans="1:21" x14ac:dyDescent="0.25">
      <c r="B159" s="36" t="s">
        <v>204</v>
      </c>
      <c r="C159">
        <v>66</v>
      </c>
      <c r="D159">
        <v>3.6421269999999999</v>
      </c>
    </row>
    <row r="160" spans="1:21" x14ac:dyDescent="0.25">
      <c r="C160">
        <v>69</v>
      </c>
      <c r="D160">
        <v>3.6675589999999998</v>
      </c>
    </row>
    <row r="161" spans="3:3" x14ac:dyDescent="0.25">
      <c r="C161">
        <v>217251</v>
      </c>
    </row>
    <row r="162" spans="3:3" x14ac:dyDescent="0.25">
      <c r="C162">
        <v>210960</v>
      </c>
    </row>
    <row r="163" spans="3:3" x14ac:dyDescent="0.25">
      <c r="C163">
        <v>70366</v>
      </c>
    </row>
  </sheetData>
  <mergeCells count="135">
    <mergeCell ref="S155:U155"/>
    <mergeCell ref="O136:Q137"/>
    <mergeCell ref="R136:R155"/>
    <mergeCell ref="S136:U137"/>
    <mergeCell ref="C154:E154"/>
    <mergeCell ref="G154:I154"/>
    <mergeCell ref="K154:M154"/>
    <mergeCell ref="O154:Q154"/>
    <mergeCell ref="S154:U154"/>
    <mergeCell ref="C155:E155"/>
    <mergeCell ref="G155:I155"/>
    <mergeCell ref="A136:B137"/>
    <mergeCell ref="C136:E137"/>
    <mergeCell ref="F136:F155"/>
    <mergeCell ref="G136:I137"/>
    <mergeCell ref="J136:J155"/>
    <mergeCell ref="K136:M137"/>
    <mergeCell ref="N136:N155"/>
    <mergeCell ref="K155:M155"/>
    <mergeCell ref="O155:Q155"/>
    <mergeCell ref="W113:Y114"/>
    <mergeCell ref="G131:I131"/>
    <mergeCell ref="K131:M131"/>
    <mergeCell ref="O131:Q131"/>
    <mergeCell ref="S131:U131"/>
    <mergeCell ref="W131:Y131"/>
    <mergeCell ref="G132:I132"/>
    <mergeCell ref="K132:M132"/>
    <mergeCell ref="O132:Q132"/>
    <mergeCell ref="S132:U132"/>
    <mergeCell ref="W132:Y132"/>
    <mergeCell ref="F113:F132"/>
    <mergeCell ref="G113:I114"/>
    <mergeCell ref="J113:J132"/>
    <mergeCell ref="K113:M114"/>
    <mergeCell ref="N113:N132"/>
    <mergeCell ref="O113:Q114"/>
    <mergeCell ref="R113:R132"/>
    <mergeCell ref="S113:U114"/>
    <mergeCell ref="V113:V132"/>
    <mergeCell ref="O76:Q76"/>
    <mergeCell ref="S76:U76"/>
    <mergeCell ref="W76:Y76"/>
    <mergeCell ref="A85:B86"/>
    <mergeCell ref="C85:E86"/>
    <mergeCell ref="F85:F104"/>
    <mergeCell ref="G85:I86"/>
    <mergeCell ref="J85:J104"/>
    <mergeCell ref="K85:M86"/>
    <mergeCell ref="N85:N104"/>
    <mergeCell ref="O85:Q86"/>
    <mergeCell ref="R85:R104"/>
    <mergeCell ref="S85:U86"/>
    <mergeCell ref="C103:E103"/>
    <mergeCell ref="G103:I103"/>
    <mergeCell ref="K103:M103"/>
    <mergeCell ref="O103:Q103"/>
    <mergeCell ref="S103:U103"/>
    <mergeCell ref="C104:E104"/>
    <mergeCell ref="G104:I104"/>
    <mergeCell ref="K104:M104"/>
    <mergeCell ref="O104:Q104"/>
    <mergeCell ref="S104:U104"/>
    <mergeCell ref="AH66:AJ66"/>
    <mergeCell ref="C75:E75"/>
    <mergeCell ref="G75:I75"/>
    <mergeCell ref="K75:M75"/>
    <mergeCell ref="O75:Q75"/>
    <mergeCell ref="S75:U75"/>
    <mergeCell ref="W75:Y75"/>
    <mergeCell ref="O57:Q58"/>
    <mergeCell ref="S57:U58"/>
    <mergeCell ref="W57:Y57"/>
    <mergeCell ref="W58:Y58"/>
    <mergeCell ref="AB66:AD66"/>
    <mergeCell ref="AE66:AG66"/>
    <mergeCell ref="A57:B58"/>
    <mergeCell ref="C57:E58"/>
    <mergeCell ref="F57:F76"/>
    <mergeCell ref="G57:I58"/>
    <mergeCell ref="J57:J76"/>
    <mergeCell ref="K57:M58"/>
    <mergeCell ref="C76:E76"/>
    <mergeCell ref="G76:I76"/>
    <mergeCell ref="K76:M76"/>
    <mergeCell ref="A28:B29"/>
    <mergeCell ref="C28:E29"/>
    <mergeCell ref="F28:F47"/>
    <mergeCell ref="G28:I29"/>
    <mergeCell ref="J28:J47"/>
    <mergeCell ref="K28:M29"/>
    <mergeCell ref="N28:N47"/>
    <mergeCell ref="W46:Y46"/>
    <mergeCell ref="C47:E47"/>
    <mergeCell ref="G47:I47"/>
    <mergeCell ref="K47:M47"/>
    <mergeCell ref="O47:Q47"/>
    <mergeCell ref="S47:U47"/>
    <mergeCell ref="W47:Y47"/>
    <mergeCell ref="O28:Q29"/>
    <mergeCell ref="R28:R47"/>
    <mergeCell ref="S28:U29"/>
    <mergeCell ref="V28:V47"/>
    <mergeCell ref="W28:Y29"/>
    <mergeCell ref="C46:E46"/>
    <mergeCell ref="G46:I46"/>
    <mergeCell ref="K46:M46"/>
    <mergeCell ref="O46:Q46"/>
    <mergeCell ref="S46:U46"/>
    <mergeCell ref="AE14:AG14"/>
    <mergeCell ref="AH14:AJ14"/>
    <mergeCell ref="C19:E19"/>
    <mergeCell ref="G19:I19"/>
    <mergeCell ref="K19:M19"/>
    <mergeCell ref="O19:Q19"/>
    <mergeCell ref="S19:U19"/>
    <mergeCell ref="W19:Y19"/>
    <mergeCell ref="O1:Q2"/>
    <mergeCell ref="S1:U2"/>
    <mergeCell ref="W1:Y1"/>
    <mergeCell ref="A2:B2"/>
    <mergeCell ref="W2:Y2"/>
    <mergeCell ref="AB14:AD14"/>
    <mergeCell ref="A1:B1"/>
    <mergeCell ref="C1:E2"/>
    <mergeCell ref="F1:F20"/>
    <mergeCell ref="G1:I2"/>
    <mergeCell ref="J1:J20"/>
    <mergeCell ref="K1:M2"/>
    <mergeCell ref="C20:E20"/>
    <mergeCell ref="G20:I20"/>
    <mergeCell ref="K20:M20"/>
    <mergeCell ref="O20:Q20"/>
    <mergeCell ref="S20:U20"/>
    <mergeCell ref="W20:Y2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9DAD1-4005-4B8F-9EA8-C6DFDFDDE117}">
  <dimension ref="A1:AJ157"/>
  <sheetViews>
    <sheetView showGridLines="0" topLeftCell="V12" workbookViewId="0">
      <selection activeCell="AB16" sqref="AB16"/>
    </sheetView>
  </sheetViews>
  <sheetFormatPr defaultRowHeight="15" x14ac:dyDescent="0.25"/>
  <cols>
    <col min="1" max="1" width="9.28515625" customWidth="1"/>
    <col min="2" max="2" width="35.42578125" customWidth="1"/>
    <col min="3" max="3" width="10.42578125" customWidth="1"/>
    <col min="4" max="4" width="9.5703125" bestFit="1" customWidth="1"/>
    <col min="5" max="5" width="11.5703125" bestFit="1" customWidth="1"/>
    <col min="6" max="6" width="2" customWidth="1"/>
    <col min="7" max="7" width="9.42578125" customWidth="1"/>
    <col min="8" max="8" width="10.140625" bestFit="1" customWidth="1"/>
    <col min="9" max="9" width="11.5703125" bestFit="1" customWidth="1"/>
    <col min="10" max="10" width="2.140625" customWidth="1"/>
    <col min="11" max="11" width="10.7109375" customWidth="1"/>
    <col min="12" max="12" width="10.140625" bestFit="1" customWidth="1"/>
    <col min="13" max="13" width="9.140625" customWidth="1"/>
    <col min="14" max="14" width="2.140625" customWidth="1"/>
    <col min="15" max="15" width="8.85546875" customWidth="1"/>
    <col min="16" max="16" width="13.5703125" customWidth="1"/>
    <col min="17" max="17" width="15" customWidth="1"/>
    <col min="18" max="18" width="3" customWidth="1"/>
    <col min="19" max="19" width="10.42578125" customWidth="1"/>
    <col min="20" max="20" width="12" customWidth="1"/>
    <col min="21" max="21" width="12.140625" customWidth="1"/>
    <col min="22" max="22" width="3" customWidth="1"/>
    <col min="23" max="23" width="11.42578125" bestFit="1" customWidth="1"/>
    <col min="24" max="24" width="11.5703125" bestFit="1" customWidth="1"/>
    <col min="25" max="25" width="9.5703125" bestFit="1" customWidth="1"/>
    <col min="27" max="27" width="20.5703125" customWidth="1"/>
    <col min="32" max="32" width="10.140625" bestFit="1" customWidth="1"/>
  </cols>
  <sheetData>
    <row r="1" spans="1:36" ht="15" customHeight="1" x14ac:dyDescent="0.25">
      <c r="A1" s="187" t="s">
        <v>74</v>
      </c>
      <c r="B1" s="188"/>
      <c r="C1" s="194" t="s">
        <v>103</v>
      </c>
      <c r="D1" s="195"/>
      <c r="E1" s="196"/>
      <c r="F1" s="190"/>
      <c r="G1" s="194" t="s">
        <v>104</v>
      </c>
      <c r="H1" s="195"/>
      <c r="I1" s="196"/>
      <c r="J1" s="190"/>
      <c r="K1" s="194" t="s">
        <v>102</v>
      </c>
      <c r="L1" s="195"/>
      <c r="M1" s="196"/>
      <c r="O1" s="176" t="s">
        <v>105</v>
      </c>
      <c r="P1" s="176"/>
      <c r="Q1" s="176"/>
      <c r="S1" s="176" t="s">
        <v>106</v>
      </c>
      <c r="T1" s="176"/>
      <c r="U1" s="176"/>
      <c r="W1" s="187" t="s">
        <v>77</v>
      </c>
      <c r="X1" s="189"/>
      <c r="Y1" s="188"/>
    </row>
    <row r="2" spans="1:36" x14ac:dyDescent="0.25">
      <c r="A2" s="187"/>
      <c r="B2" s="188"/>
      <c r="C2" s="197"/>
      <c r="D2" s="198"/>
      <c r="E2" s="199"/>
      <c r="F2" s="191"/>
      <c r="G2" s="197"/>
      <c r="H2" s="198"/>
      <c r="I2" s="199"/>
      <c r="J2" s="191"/>
      <c r="K2" s="197"/>
      <c r="L2" s="198"/>
      <c r="M2" s="199"/>
      <c r="O2" s="176"/>
      <c r="P2" s="176"/>
      <c r="Q2" s="176"/>
      <c r="S2" s="176"/>
      <c r="T2" s="176"/>
      <c r="U2" s="176"/>
      <c r="W2" s="187">
        <f>BLE!D6</f>
        <v>2</v>
      </c>
      <c r="X2" s="189"/>
      <c r="Y2" s="188"/>
    </row>
    <row r="3" spans="1:36" ht="45" x14ac:dyDescent="0.25">
      <c r="A3" s="5"/>
      <c r="B3" s="5" t="s">
        <v>19</v>
      </c>
      <c r="C3" s="77" t="s">
        <v>53</v>
      </c>
      <c r="D3" s="77" t="s">
        <v>54</v>
      </c>
      <c r="E3" s="77" t="s">
        <v>55</v>
      </c>
      <c r="F3" s="191"/>
      <c r="G3" s="77" t="s">
        <v>53</v>
      </c>
      <c r="H3" s="77" t="s">
        <v>54</v>
      </c>
      <c r="I3" s="77" t="s">
        <v>55</v>
      </c>
      <c r="J3" s="191"/>
      <c r="K3" s="77" t="s">
        <v>53</v>
      </c>
      <c r="L3" s="77" t="s">
        <v>54</v>
      </c>
      <c r="M3" s="77" t="s">
        <v>55</v>
      </c>
      <c r="O3" s="77" t="s">
        <v>53</v>
      </c>
      <c r="P3" s="77" t="s">
        <v>54</v>
      </c>
      <c r="Q3" s="77" t="s">
        <v>55</v>
      </c>
      <c r="S3" s="77" t="s">
        <v>53</v>
      </c>
      <c r="T3" s="77" t="s">
        <v>54</v>
      </c>
      <c r="U3" s="77" t="s">
        <v>55</v>
      </c>
      <c r="W3" s="77" t="s">
        <v>53</v>
      </c>
      <c r="X3" s="77" t="s">
        <v>54</v>
      </c>
      <c r="Y3" s="77" t="s">
        <v>55</v>
      </c>
    </row>
    <row r="4" spans="1:36" x14ac:dyDescent="0.25">
      <c r="A4" s="5">
        <v>1</v>
      </c>
      <c r="B4" s="5" t="s">
        <v>23</v>
      </c>
      <c r="C4" s="78">
        <v>302</v>
      </c>
      <c r="D4" s="78">
        <v>4.0974089999999999</v>
      </c>
      <c r="E4" s="77">
        <f>C4*D4</f>
        <v>1237.417518</v>
      </c>
      <c r="F4" s="191"/>
      <c r="G4" s="78">
        <v>286</v>
      </c>
      <c r="H4" s="78">
        <v>4.4589569999999998</v>
      </c>
      <c r="I4" s="77">
        <f>G4*H4</f>
        <v>1275.261702</v>
      </c>
      <c r="J4" s="191"/>
      <c r="K4" s="78">
        <v>299</v>
      </c>
      <c r="L4" s="78">
        <v>4.6772070000000001</v>
      </c>
      <c r="M4" s="77">
        <f>K4*L4</f>
        <v>1398.4848930000001</v>
      </c>
      <c r="O4" s="78">
        <v>305</v>
      </c>
      <c r="P4" s="78">
        <v>4.0185719999999998</v>
      </c>
      <c r="Q4" s="77">
        <f t="shared" ref="Q4:Q17" si="0">O4*P4</f>
        <v>1225.66446</v>
      </c>
      <c r="S4" s="78">
        <v>294</v>
      </c>
      <c r="T4" s="78">
        <v>4.3049080000000002</v>
      </c>
      <c r="U4" s="77">
        <f t="shared" ref="U4:U17" si="1">S4*T4</f>
        <v>1265.6429520000002</v>
      </c>
      <c r="W4" s="85">
        <f>ROUND(AVERAGE(C4,O4,S4),0)</f>
        <v>300</v>
      </c>
      <c r="X4" s="85">
        <f>((C4*D4)+(G4*H4)+(K4*L4))/(C4+G4+K4)</f>
        <v>4.4094296651634721</v>
      </c>
      <c r="Y4" s="77">
        <f>W4*X4</f>
        <v>1322.8288995490416</v>
      </c>
      <c r="AA4" t="s">
        <v>75</v>
      </c>
      <c r="AB4">
        <v>120</v>
      </c>
    </row>
    <row r="5" spans="1:36" x14ac:dyDescent="0.25">
      <c r="A5" s="5">
        <v>2</v>
      </c>
      <c r="B5" s="5" t="s">
        <v>24</v>
      </c>
      <c r="C5" s="78">
        <v>123</v>
      </c>
      <c r="D5" s="78">
        <v>4.5257569999999996</v>
      </c>
      <c r="E5" s="77">
        <f t="shared" ref="E5:E17" si="2">C5*D5</f>
        <v>556.66811099999995</v>
      </c>
      <c r="F5" s="191"/>
      <c r="G5" s="78">
        <v>119</v>
      </c>
      <c r="H5" s="78">
        <v>4.3699469999999998</v>
      </c>
      <c r="I5" s="77">
        <f t="shared" ref="I5:I17" si="3">G5*H5</f>
        <v>520.02369299999998</v>
      </c>
      <c r="J5" s="191"/>
      <c r="K5" s="78">
        <v>104</v>
      </c>
      <c r="L5" s="78">
        <v>4.9809049999999999</v>
      </c>
      <c r="M5" s="77">
        <f t="shared" ref="M5:M17" si="4">K5*L5</f>
        <v>518.01412000000005</v>
      </c>
      <c r="O5" s="78">
        <v>125</v>
      </c>
      <c r="P5" s="78">
        <v>4.2887370000000002</v>
      </c>
      <c r="Q5" s="77">
        <f t="shared" si="0"/>
        <v>536.09212500000001</v>
      </c>
      <c r="S5" s="78">
        <v>125</v>
      </c>
      <c r="T5" s="78">
        <v>7.8236889999999999</v>
      </c>
      <c r="U5" s="77">
        <f t="shared" si="1"/>
        <v>977.96112500000004</v>
      </c>
      <c r="W5" s="85">
        <f t="shared" ref="W5:W17" si="5">ROUND(AVERAGE(C5,O5,S5),0)</f>
        <v>124</v>
      </c>
      <c r="X5" s="91">
        <f>VLOOKUP(W2,AA16:AJ26,2,FALSE)</f>
        <v>4.5033770000000004</v>
      </c>
      <c r="Y5" s="77">
        <f t="shared" ref="Y5:Y17" si="6">W5*X5</f>
        <v>558.41874800000005</v>
      </c>
    </row>
    <row r="6" spans="1:36" s="92" customFormat="1" x14ac:dyDescent="0.25">
      <c r="A6" s="90">
        <v>3</v>
      </c>
      <c r="B6" s="90" t="s">
        <v>25</v>
      </c>
      <c r="C6" s="91">
        <v>192</v>
      </c>
      <c r="D6" s="91">
        <v>11.657323</v>
      </c>
      <c r="E6" s="91">
        <f t="shared" si="2"/>
        <v>2238.2060160000001</v>
      </c>
      <c r="F6" s="191"/>
      <c r="G6" s="91">
        <v>147</v>
      </c>
      <c r="H6" s="91">
        <v>10.958071</v>
      </c>
      <c r="I6" s="91">
        <f t="shared" si="3"/>
        <v>1610.8364370000002</v>
      </c>
      <c r="J6" s="191"/>
      <c r="K6" s="91">
        <v>367</v>
      </c>
      <c r="L6" s="91">
        <v>11.629427</v>
      </c>
      <c r="M6" s="91">
        <f t="shared" si="4"/>
        <v>4267.9997089999997</v>
      </c>
      <c r="O6" s="91">
        <v>366</v>
      </c>
      <c r="P6" s="91">
        <v>8.6365440000000007</v>
      </c>
      <c r="Q6" s="91">
        <f t="shared" si="0"/>
        <v>3160.9751040000001</v>
      </c>
      <c r="S6" s="91">
        <v>367</v>
      </c>
      <c r="T6" s="91">
        <v>33.265203999999997</v>
      </c>
      <c r="U6" s="91">
        <f t="shared" si="1"/>
        <v>12208.329867999999</v>
      </c>
      <c r="W6" s="91">
        <f>('CC23XX Power Computation Sheet'!B6*8)+AB4</f>
        <v>168</v>
      </c>
      <c r="X6" s="91">
        <f>VLOOKUP(W2,AA16:AJ26,3,FALSE)</f>
        <v>9.8316090000000003</v>
      </c>
      <c r="Y6" s="91">
        <f t="shared" si="6"/>
        <v>1651.7103120000002</v>
      </c>
      <c r="AA6" s="92" t="s">
        <v>85</v>
      </c>
      <c r="AB6" s="92">
        <f>Y22</f>
        <v>9.5829999999999995E-3</v>
      </c>
      <c r="AC6" s="92" t="s">
        <v>88</v>
      </c>
    </row>
    <row r="7" spans="1:36" s="86" customFormat="1" x14ac:dyDescent="0.25">
      <c r="A7" s="84">
        <v>4</v>
      </c>
      <c r="B7" s="84" t="s">
        <v>26</v>
      </c>
      <c r="C7" s="85">
        <v>150</v>
      </c>
      <c r="D7" s="85">
        <v>4.4521750000000004</v>
      </c>
      <c r="E7" s="85">
        <f t="shared" si="2"/>
        <v>667.82625000000007</v>
      </c>
      <c r="F7" s="191"/>
      <c r="G7" s="85">
        <v>146</v>
      </c>
      <c r="H7" s="85">
        <v>4.876455</v>
      </c>
      <c r="I7" s="85">
        <f t="shared" si="3"/>
        <v>711.96243000000004</v>
      </c>
      <c r="J7" s="191"/>
      <c r="K7" s="85">
        <v>150</v>
      </c>
      <c r="L7" s="85">
        <v>4.484388</v>
      </c>
      <c r="M7" s="85">
        <f t="shared" si="4"/>
        <v>672.65819999999997</v>
      </c>
      <c r="O7" s="85">
        <v>146</v>
      </c>
      <c r="P7" s="85">
        <v>4.2317710000000002</v>
      </c>
      <c r="Q7" s="85">
        <f t="shared" si="0"/>
        <v>617.83856600000001</v>
      </c>
      <c r="S7" s="85">
        <v>150</v>
      </c>
      <c r="T7" s="85">
        <v>5.3380330000000002</v>
      </c>
      <c r="U7" s="85">
        <f t="shared" si="1"/>
        <v>800.70495000000005</v>
      </c>
      <c r="W7" s="85">
        <f t="shared" si="5"/>
        <v>149</v>
      </c>
      <c r="X7" s="91">
        <f>VLOOKUP(W2,AA16:AJ26,4,FALSE)</f>
        <v>4.3860539999999997</v>
      </c>
      <c r="Y7" s="85">
        <f t="shared" si="6"/>
        <v>653.52204599999993</v>
      </c>
    </row>
    <row r="8" spans="1:36" x14ac:dyDescent="0.25">
      <c r="A8" s="5">
        <v>5</v>
      </c>
      <c r="B8" s="5" t="s">
        <v>27</v>
      </c>
      <c r="C8" s="78">
        <v>148</v>
      </c>
      <c r="D8" s="78">
        <v>6.6036650000000003</v>
      </c>
      <c r="E8" s="77">
        <f t="shared" si="2"/>
        <v>977.34242000000006</v>
      </c>
      <c r="F8" s="191"/>
      <c r="G8" s="78">
        <v>153</v>
      </c>
      <c r="H8" s="78">
        <v>6.6439310000000003</v>
      </c>
      <c r="I8" s="77">
        <f t="shared" si="3"/>
        <v>1016.5214430000001</v>
      </c>
      <c r="J8" s="191"/>
      <c r="K8" s="78">
        <v>150</v>
      </c>
      <c r="L8" s="78">
        <v>6.714715</v>
      </c>
      <c r="M8" s="77">
        <f t="shared" si="4"/>
        <v>1007.20725</v>
      </c>
      <c r="O8" s="78">
        <v>149</v>
      </c>
      <c r="P8" s="78">
        <v>6.6841970000000002</v>
      </c>
      <c r="Q8" s="77">
        <f t="shared" si="0"/>
        <v>995.94535300000007</v>
      </c>
      <c r="S8" s="78">
        <v>145</v>
      </c>
      <c r="T8" s="78">
        <v>6.6392680000000004</v>
      </c>
      <c r="U8" s="77">
        <f t="shared" si="1"/>
        <v>962.69386000000009</v>
      </c>
      <c r="W8" s="85">
        <f t="shared" si="5"/>
        <v>147</v>
      </c>
      <c r="X8" s="85">
        <f>((C8*D8)+(G8*H8)+(K8*L8))/(C8+G8+K8)</f>
        <v>6.6542596740576494</v>
      </c>
      <c r="Y8" s="77">
        <f t="shared" si="6"/>
        <v>978.17617208647448</v>
      </c>
    </row>
    <row r="9" spans="1:36" s="86" customFormat="1" x14ac:dyDescent="0.25">
      <c r="A9" s="84">
        <v>6</v>
      </c>
      <c r="B9" s="84" t="s">
        <v>28</v>
      </c>
      <c r="C9" s="85">
        <v>115</v>
      </c>
      <c r="D9" s="85">
        <v>4.925935</v>
      </c>
      <c r="E9" s="85">
        <f t="shared" si="2"/>
        <v>566.48252500000001</v>
      </c>
      <c r="F9" s="191"/>
      <c r="G9" s="85">
        <v>112</v>
      </c>
      <c r="H9" s="85">
        <v>5.362374</v>
      </c>
      <c r="I9" s="85">
        <f t="shared" si="3"/>
        <v>600.58588799999995</v>
      </c>
      <c r="J9" s="191"/>
      <c r="K9" s="85">
        <v>117</v>
      </c>
      <c r="L9" s="85">
        <v>5.1275890000000004</v>
      </c>
      <c r="M9" s="85">
        <f t="shared" si="4"/>
        <v>599.92791299999999</v>
      </c>
      <c r="O9" s="85">
        <v>119</v>
      </c>
      <c r="P9" s="85">
        <v>4.7439999999999998</v>
      </c>
      <c r="Q9" s="85">
        <f t="shared" si="0"/>
        <v>564.53599999999994</v>
      </c>
      <c r="S9" s="85">
        <v>118</v>
      </c>
      <c r="T9" s="85">
        <v>8.1178880000000007</v>
      </c>
      <c r="U9" s="85">
        <f t="shared" si="1"/>
        <v>957.91078400000004</v>
      </c>
      <c r="W9" s="85">
        <f t="shared" si="5"/>
        <v>117</v>
      </c>
      <c r="X9" s="91">
        <f>VLOOKUP(W2,AA16:AJ26,5,FALSE)</f>
        <v>5.2103679999999999</v>
      </c>
      <c r="Y9" s="85">
        <f t="shared" si="6"/>
        <v>609.61305600000003</v>
      </c>
    </row>
    <row r="10" spans="1:36" s="92" customFormat="1" x14ac:dyDescent="0.25">
      <c r="A10" s="90">
        <v>7</v>
      </c>
      <c r="B10" s="90" t="s">
        <v>25</v>
      </c>
      <c r="C10" s="91">
        <v>192</v>
      </c>
      <c r="D10" s="91">
        <v>11.555598</v>
      </c>
      <c r="E10" s="91">
        <f t="shared" si="2"/>
        <v>2218.6748159999997</v>
      </c>
      <c r="F10" s="191"/>
      <c r="G10" s="91">
        <v>144</v>
      </c>
      <c r="H10" s="91">
        <v>11.571248000000001</v>
      </c>
      <c r="I10" s="91">
        <f t="shared" si="3"/>
        <v>1666.259712</v>
      </c>
      <c r="J10" s="191"/>
      <c r="K10" s="91">
        <v>369</v>
      </c>
      <c r="L10" s="91">
        <v>11.583441000000001</v>
      </c>
      <c r="M10" s="91">
        <f t="shared" si="4"/>
        <v>4274.2897290000001</v>
      </c>
      <c r="O10" s="91">
        <v>368</v>
      </c>
      <c r="P10" s="91">
        <v>8.6299250000000001</v>
      </c>
      <c r="Q10" s="91">
        <f t="shared" si="0"/>
        <v>3175.8123999999998</v>
      </c>
      <c r="S10" s="91">
        <v>369</v>
      </c>
      <c r="T10" s="91">
        <v>32.417957999999999</v>
      </c>
      <c r="U10" s="91">
        <f t="shared" si="1"/>
        <v>11962.226502</v>
      </c>
      <c r="W10" s="91">
        <f>('CC23XX Power Computation Sheet'!B6*8)+AB4</f>
        <v>168</v>
      </c>
      <c r="X10" s="91">
        <f>VLOOKUP(W2,AA16:AJ26,6,FALSE)</f>
        <v>9.8034180000000006</v>
      </c>
      <c r="Y10" s="91">
        <f t="shared" si="6"/>
        <v>1646.974224</v>
      </c>
    </row>
    <row r="11" spans="1:36" s="86" customFormat="1" x14ac:dyDescent="0.25">
      <c r="A11" s="84">
        <v>8</v>
      </c>
      <c r="B11" s="84" t="s">
        <v>26</v>
      </c>
      <c r="C11" s="85">
        <v>148</v>
      </c>
      <c r="D11" s="85">
        <v>4.4648909999999997</v>
      </c>
      <c r="E11" s="85">
        <f t="shared" si="2"/>
        <v>660.80386799999997</v>
      </c>
      <c r="F11" s="191"/>
      <c r="G11" s="85">
        <v>144</v>
      </c>
      <c r="H11" s="85">
        <v>5.1053360000000003</v>
      </c>
      <c r="I11" s="85">
        <f t="shared" si="3"/>
        <v>735.16838400000006</v>
      </c>
      <c r="J11" s="191"/>
      <c r="K11" s="85">
        <v>148</v>
      </c>
      <c r="L11" s="85">
        <v>4.4284400000000002</v>
      </c>
      <c r="M11" s="85">
        <f t="shared" si="4"/>
        <v>655.40912000000003</v>
      </c>
      <c r="O11" s="85">
        <v>146</v>
      </c>
      <c r="P11" s="85">
        <v>4.104965</v>
      </c>
      <c r="Q11" s="85">
        <f t="shared" si="0"/>
        <v>599.32488999999998</v>
      </c>
      <c r="S11" s="85">
        <v>146</v>
      </c>
      <c r="T11" s="85">
        <v>5.2809439999999999</v>
      </c>
      <c r="U11" s="85">
        <f t="shared" si="1"/>
        <v>771.01782400000002</v>
      </c>
      <c r="W11" s="85">
        <f t="shared" si="5"/>
        <v>147</v>
      </c>
      <c r="X11" s="91">
        <f>VLOOKUP(W2,AA16:AJ26,7,FALSE)</f>
        <v>4.7499130000000003</v>
      </c>
      <c r="Y11" s="85">
        <f t="shared" si="6"/>
        <v>698.237211</v>
      </c>
    </row>
    <row r="12" spans="1:36" x14ac:dyDescent="0.25">
      <c r="A12" s="5">
        <v>9</v>
      </c>
      <c r="B12" s="5" t="s">
        <v>27</v>
      </c>
      <c r="C12" s="78">
        <v>147</v>
      </c>
      <c r="D12" s="78">
        <v>6.7282780000000004</v>
      </c>
      <c r="E12" s="77">
        <f t="shared" si="2"/>
        <v>989.05686600000001</v>
      </c>
      <c r="F12" s="191"/>
      <c r="G12" s="78">
        <v>151</v>
      </c>
      <c r="H12" s="78">
        <v>6.6661830000000002</v>
      </c>
      <c r="I12" s="77">
        <f t="shared" si="3"/>
        <v>1006.5936330000001</v>
      </c>
      <c r="J12" s="191"/>
      <c r="K12" s="78">
        <v>150</v>
      </c>
      <c r="L12" s="78">
        <v>6.5867100000000001</v>
      </c>
      <c r="M12" s="77">
        <f t="shared" si="4"/>
        <v>988.00649999999996</v>
      </c>
      <c r="O12" s="78">
        <v>147</v>
      </c>
      <c r="P12" s="78">
        <v>6.6579179999999996</v>
      </c>
      <c r="Q12" s="77">
        <f t="shared" si="0"/>
        <v>978.71394599999996</v>
      </c>
      <c r="S12" s="78">
        <v>145</v>
      </c>
      <c r="T12" s="78">
        <v>6.6002739999999998</v>
      </c>
      <c r="U12" s="77">
        <f t="shared" si="1"/>
        <v>957.03972999999996</v>
      </c>
      <c r="W12" s="85">
        <f t="shared" si="5"/>
        <v>146</v>
      </c>
      <c r="X12" s="85">
        <f>((C12*D12)+(G12*H12)+(K12*L12))/(C12+G12+K12)</f>
        <v>6.6599486584821426</v>
      </c>
      <c r="Y12" s="77">
        <f t="shared" si="6"/>
        <v>972.35250413839276</v>
      </c>
    </row>
    <row r="13" spans="1:36" s="86" customFormat="1" x14ac:dyDescent="0.25">
      <c r="A13" s="84">
        <v>10</v>
      </c>
      <c r="B13" s="84" t="s">
        <v>28</v>
      </c>
      <c r="C13" s="85">
        <v>119</v>
      </c>
      <c r="D13" s="85">
        <v>5.1678550000000003</v>
      </c>
      <c r="E13" s="85">
        <f t="shared" si="2"/>
        <v>614.97474499999998</v>
      </c>
      <c r="F13" s="191"/>
      <c r="G13" s="85">
        <v>115</v>
      </c>
      <c r="H13" s="85">
        <v>5.1044280000000004</v>
      </c>
      <c r="I13" s="85">
        <f t="shared" si="3"/>
        <v>587.00922000000003</v>
      </c>
      <c r="J13" s="191"/>
      <c r="K13" s="85">
        <v>114</v>
      </c>
      <c r="L13" s="85">
        <v>5.3268009999999997</v>
      </c>
      <c r="M13" s="85">
        <f t="shared" si="4"/>
        <v>607.255314</v>
      </c>
      <c r="O13" s="85">
        <v>119</v>
      </c>
      <c r="P13" s="85">
        <v>4.6920780000000004</v>
      </c>
      <c r="Q13" s="85">
        <f t="shared" si="0"/>
        <v>558.35728200000005</v>
      </c>
      <c r="S13" s="85">
        <v>121</v>
      </c>
      <c r="T13" s="85">
        <v>7.9451660000000004</v>
      </c>
      <c r="U13" s="85">
        <f t="shared" si="1"/>
        <v>961.36508600000002</v>
      </c>
      <c r="W13" s="85">
        <f t="shared" si="5"/>
        <v>120</v>
      </c>
      <c r="X13" s="91">
        <f>VLOOKUP(W2,AA16:AJ26,8,FALSE)</f>
        <v>5.2554790000000002</v>
      </c>
      <c r="Y13" s="85">
        <f t="shared" si="6"/>
        <v>630.65748000000008</v>
      </c>
    </row>
    <row r="14" spans="1:36" s="92" customFormat="1" x14ac:dyDescent="0.25">
      <c r="A14" s="90">
        <v>11</v>
      </c>
      <c r="B14" s="90" t="s">
        <v>25</v>
      </c>
      <c r="C14" s="91">
        <v>192</v>
      </c>
      <c r="D14" s="91">
        <v>11.27678</v>
      </c>
      <c r="E14" s="91">
        <f t="shared" si="2"/>
        <v>2165.14176</v>
      </c>
      <c r="F14" s="191"/>
      <c r="G14" s="91">
        <v>147</v>
      </c>
      <c r="H14" s="91">
        <v>11.202494</v>
      </c>
      <c r="I14" s="91">
        <f t="shared" si="3"/>
        <v>1646.7666179999999</v>
      </c>
      <c r="J14" s="191"/>
      <c r="K14" s="91">
        <v>367</v>
      </c>
      <c r="L14" s="91">
        <v>11.204613</v>
      </c>
      <c r="M14" s="91">
        <f t="shared" si="4"/>
        <v>4112.092971</v>
      </c>
      <c r="O14" s="91">
        <v>368</v>
      </c>
      <c r="P14" s="91">
        <v>8.4891819999999996</v>
      </c>
      <c r="Q14" s="91">
        <f t="shared" si="0"/>
        <v>3124.0189759999998</v>
      </c>
      <c r="S14" s="91">
        <v>366</v>
      </c>
      <c r="T14" s="91">
        <v>34.514474</v>
      </c>
      <c r="U14" s="91">
        <f t="shared" si="1"/>
        <v>12632.297484000001</v>
      </c>
      <c r="W14" s="91">
        <f>('CC23XX Power Computation Sheet'!B6*8)+AB4</f>
        <v>168</v>
      </c>
      <c r="X14" s="91">
        <f>VLOOKUP(W2,AA16:AJ26,9,FALSE)</f>
        <v>9.5816009999999991</v>
      </c>
      <c r="Y14" s="91">
        <f t="shared" si="6"/>
        <v>1609.7089679999999</v>
      </c>
      <c r="AA14" s="103" t="s">
        <v>132</v>
      </c>
      <c r="AB14" s="193">
        <v>1</v>
      </c>
      <c r="AC14" s="193"/>
      <c r="AD14" s="193"/>
      <c r="AE14" s="193">
        <v>2</v>
      </c>
      <c r="AF14" s="193"/>
      <c r="AG14" s="193"/>
      <c r="AH14" s="193">
        <v>3</v>
      </c>
      <c r="AI14" s="193"/>
      <c r="AJ14" s="193"/>
    </row>
    <row r="15" spans="1:36" s="86" customFormat="1" ht="39" x14ac:dyDescent="0.25">
      <c r="A15" s="84">
        <v>12</v>
      </c>
      <c r="B15" s="84" t="s">
        <v>26</v>
      </c>
      <c r="C15" s="85">
        <v>146</v>
      </c>
      <c r="D15" s="85">
        <v>4.4428510000000001</v>
      </c>
      <c r="E15" s="85">
        <f t="shared" si="2"/>
        <v>648.65624600000001</v>
      </c>
      <c r="F15" s="191"/>
      <c r="G15" s="85">
        <v>153</v>
      </c>
      <c r="H15" s="85">
        <v>5.0735469999999996</v>
      </c>
      <c r="I15" s="85">
        <f t="shared" si="3"/>
        <v>776.25269099999991</v>
      </c>
      <c r="J15" s="191"/>
      <c r="K15" s="85">
        <v>146</v>
      </c>
      <c r="L15" s="85">
        <v>4.4674339999999999</v>
      </c>
      <c r="M15" s="85">
        <f t="shared" si="4"/>
        <v>652.245364</v>
      </c>
      <c r="O15" s="85">
        <v>146</v>
      </c>
      <c r="P15" s="85">
        <v>4.1758220000000001</v>
      </c>
      <c r="Q15" s="85">
        <f t="shared" si="0"/>
        <v>609.67001200000004</v>
      </c>
      <c r="S15" s="85">
        <v>145</v>
      </c>
      <c r="T15" s="85">
        <v>5.5001790000000002</v>
      </c>
      <c r="U15" s="85">
        <f t="shared" si="1"/>
        <v>797.52595500000007</v>
      </c>
      <c r="W15" s="85">
        <f t="shared" si="5"/>
        <v>146</v>
      </c>
      <c r="X15" s="91">
        <f>VLOOKUP(W2,AA16:AJ26,10,FALSE)</f>
        <v>4.5481030000000002</v>
      </c>
      <c r="Y15" s="85">
        <f t="shared" si="6"/>
        <v>664.02303800000004</v>
      </c>
      <c r="AA15" s="101" t="s">
        <v>131</v>
      </c>
      <c r="AB15" s="5" t="s">
        <v>24</v>
      </c>
      <c r="AC15" s="90" t="s">
        <v>25</v>
      </c>
      <c r="AD15" s="84" t="s">
        <v>26</v>
      </c>
      <c r="AE15" s="84" t="s">
        <v>28</v>
      </c>
      <c r="AF15" s="90" t="s">
        <v>25</v>
      </c>
      <c r="AG15" s="84" t="s">
        <v>26</v>
      </c>
      <c r="AH15" s="84" t="s">
        <v>28</v>
      </c>
      <c r="AI15" s="90" t="s">
        <v>25</v>
      </c>
      <c r="AJ15" s="84" t="s">
        <v>26</v>
      </c>
    </row>
    <row r="16" spans="1:36" x14ac:dyDescent="0.25">
      <c r="A16" s="5">
        <v>13</v>
      </c>
      <c r="B16" s="5" t="s">
        <v>27</v>
      </c>
      <c r="C16" s="78">
        <v>147</v>
      </c>
      <c r="D16" s="78">
        <v>6.6814200000000001</v>
      </c>
      <c r="E16" s="77">
        <f t="shared" si="2"/>
        <v>982.16874000000007</v>
      </c>
      <c r="F16" s="191"/>
      <c r="G16" s="78">
        <v>150</v>
      </c>
      <c r="H16" s="78">
        <v>6.6206189999999996</v>
      </c>
      <c r="I16" s="77">
        <f t="shared" si="3"/>
        <v>993.09284999999988</v>
      </c>
      <c r="J16" s="191"/>
      <c r="K16" s="78">
        <v>150</v>
      </c>
      <c r="L16" s="78">
        <v>6.5909490000000002</v>
      </c>
      <c r="M16" s="77">
        <f t="shared" si="4"/>
        <v>988.64235000000008</v>
      </c>
      <c r="O16" s="78">
        <v>152</v>
      </c>
      <c r="P16" s="78">
        <v>6.6545269999999999</v>
      </c>
      <c r="Q16" s="77">
        <f t="shared" si="0"/>
        <v>1011.488104</v>
      </c>
      <c r="S16" s="78">
        <v>148</v>
      </c>
      <c r="T16" s="78">
        <v>6.7952469999999998</v>
      </c>
      <c r="U16" s="77">
        <f t="shared" si="1"/>
        <v>1005.696556</v>
      </c>
      <c r="W16" s="85">
        <f t="shared" si="5"/>
        <v>149</v>
      </c>
      <c r="X16" s="85">
        <f>((C16*D16)+(G16*H16)+(K16*L16))/(C16+G16+K16)</f>
        <v>6.6306575838926181</v>
      </c>
      <c r="Y16" s="77">
        <f t="shared" si="6"/>
        <v>987.96798000000013</v>
      </c>
      <c r="AA16" s="32">
        <v>0</v>
      </c>
      <c r="AB16" s="32">
        <f>P5</f>
        <v>4.2887370000000002</v>
      </c>
      <c r="AC16" s="32">
        <f>P6</f>
        <v>8.6365440000000007</v>
      </c>
      <c r="AD16" s="32">
        <f>P7</f>
        <v>4.2317710000000002</v>
      </c>
      <c r="AE16" s="32">
        <f>P9</f>
        <v>4.7439999999999998</v>
      </c>
      <c r="AF16" s="32">
        <f>P10</f>
        <v>8.6299250000000001</v>
      </c>
      <c r="AG16" s="32">
        <f>P11</f>
        <v>4.104965</v>
      </c>
      <c r="AH16" s="32">
        <f>P13</f>
        <v>4.6920780000000004</v>
      </c>
      <c r="AI16" s="32">
        <f>P14</f>
        <v>8.4891819999999996</v>
      </c>
      <c r="AJ16" s="32">
        <f>P15</f>
        <v>4.1758220000000001</v>
      </c>
    </row>
    <row r="17" spans="1:36" x14ac:dyDescent="0.25">
      <c r="A17" s="5">
        <v>14</v>
      </c>
      <c r="B17" s="5" t="s">
        <v>29</v>
      </c>
      <c r="C17" s="78">
        <v>228</v>
      </c>
      <c r="D17" s="78">
        <v>4.1392230000000003</v>
      </c>
      <c r="E17" s="77">
        <f t="shared" si="2"/>
        <v>943.7428440000001</v>
      </c>
      <c r="F17" s="191"/>
      <c r="G17" s="78">
        <v>218</v>
      </c>
      <c r="H17" s="78">
        <v>4.4366079999999997</v>
      </c>
      <c r="I17" s="77">
        <f t="shared" si="3"/>
        <v>967.18054399999994</v>
      </c>
      <c r="J17" s="191"/>
      <c r="K17" s="78">
        <v>214</v>
      </c>
      <c r="L17" s="78">
        <v>4.3274629999999998</v>
      </c>
      <c r="M17" s="77">
        <f t="shared" si="4"/>
        <v>926.07708200000002</v>
      </c>
      <c r="O17" s="78">
        <v>202</v>
      </c>
      <c r="P17" s="78">
        <v>4.4355929999999999</v>
      </c>
      <c r="Q17" s="77">
        <f t="shared" si="0"/>
        <v>895.98978599999998</v>
      </c>
      <c r="S17" s="78">
        <v>213</v>
      </c>
      <c r="T17" s="78">
        <v>4.3881129999999997</v>
      </c>
      <c r="U17" s="77">
        <f t="shared" si="1"/>
        <v>934.66806899999995</v>
      </c>
      <c r="W17" s="85">
        <f t="shared" si="5"/>
        <v>214</v>
      </c>
      <c r="X17" s="85">
        <f>((C17*D17)+(G17*H17)+(K17*L17))/(C17+G17+K17)</f>
        <v>4.2984855606060606</v>
      </c>
      <c r="Y17" s="77">
        <f t="shared" si="6"/>
        <v>919.87590996969698</v>
      </c>
      <c r="AA17" s="32">
        <v>1</v>
      </c>
      <c r="AB17" s="32">
        <f>D89</f>
        <v>4.4006350000000003</v>
      </c>
      <c r="AC17" s="32">
        <f>D90</f>
        <v>9.2377529999999997</v>
      </c>
      <c r="AD17" s="32">
        <f>D91</f>
        <v>4.378425</v>
      </c>
      <c r="AE17" s="32">
        <f>D93</f>
        <v>5.0526939999999998</v>
      </c>
      <c r="AF17" s="32">
        <f>D94</f>
        <v>9.2608309999999996</v>
      </c>
      <c r="AG17" s="32">
        <f>D95</f>
        <v>4.3962269999999997</v>
      </c>
      <c r="AH17" s="32">
        <f>D97</f>
        <v>5.0516759999999996</v>
      </c>
      <c r="AI17" s="32">
        <f>D98</f>
        <v>9.0734049999999993</v>
      </c>
      <c r="AJ17" s="32">
        <f>D99</f>
        <v>4.5030380000000001</v>
      </c>
    </row>
    <row r="18" spans="1:36" x14ac:dyDescent="0.25">
      <c r="A18" s="5">
        <v>15</v>
      </c>
      <c r="B18" s="5" t="s">
        <v>60</v>
      </c>
      <c r="C18" s="78"/>
      <c r="D18" s="78"/>
      <c r="E18" s="77"/>
      <c r="F18" s="191"/>
      <c r="G18" s="78"/>
      <c r="H18" s="78"/>
      <c r="I18" s="77"/>
      <c r="J18" s="191"/>
      <c r="K18" s="78"/>
      <c r="L18" s="78"/>
      <c r="M18" s="77"/>
      <c r="O18" s="78"/>
      <c r="P18" s="78"/>
      <c r="Q18" s="77"/>
      <c r="S18" s="78"/>
      <c r="T18" s="78"/>
      <c r="U18" s="77"/>
      <c r="W18" s="78"/>
      <c r="X18" s="78"/>
      <c r="Y18" s="77"/>
      <c r="AA18" s="32">
        <v>2</v>
      </c>
      <c r="AB18" s="102">
        <f>D32</f>
        <v>4.5033770000000004</v>
      </c>
      <c r="AC18" s="102">
        <f>D33</f>
        <v>9.8316090000000003</v>
      </c>
      <c r="AD18" s="102">
        <f>D34</f>
        <v>4.3860539999999997</v>
      </c>
      <c r="AE18" s="102">
        <f>D36</f>
        <v>5.2103679999999999</v>
      </c>
      <c r="AF18" s="102">
        <f>D37</f>
        <v>9.8034180000000006</v>
      </c>
      <c r="AG18" s="102">
        <f>D38</f>
        <v>4.7499130000000003</v>
      </c>
      <c r="AH18" s="102">
        <f>D40</f>
        <v>5.2554790000000002</v>
      </c>
      <c r="AI18" s="102">
        <f>D41</f>
        <v>9.5816009999999991</v>
      </c>
      <c r="AJ18" s="102">
        <f>D42</f>
        <v>4.5481030000000002</v>
      </c>
    </row>
    <row r="19" spans="1:36" x14ac:dyDescent="0.25">
      <c r="A19" s="79"/>
      <c r="B19" s="5" t="s">
        <v>56</v>
      </c>
      <c r="C19" s="173">
        <f>SUM(C4:C17)</f>
        <v>2349</v>
      </c>
      <c r="D19" s="174"/>
      <c r="E19" s="175"/>
      <c r="F19" s="191"/>
      <c r="G19" s="184">
        <f>SUM(G4:G17)</f>
        <v>2185</v>
      </c>
      <c r="H19" s="185"/>
      <c r="I19" s="186"/>
      <c r="J19" s="191"/>
      <c r="K19" s="184">
        <f>SUM(K4:K17)</f>
        <v>2845</v>
      </c>
      <c r="L19" s="185"/>
      <c r="M19" s="186"/>
      <c r="O19" s="173">
        <f>SUM(O4:O17)</f>
        <v>2858</v>
      </c>
      <c r="P19" s="174"/>
      <c r="Q19" s="175"/>
      <c r="S19" s="173">
        <f>SUM(S4:S17)</f>
        <v>2852</v>
      </c>
      <c r="T19" s="174"/>
      <c r="U19" s="175"/>
      <c r="W19" s="184">
        <f>SUM(W4:W17)</f>
        <v>2263</v>
      </c>
      <c r="X19" s="185"/>
      <c r="Y19" s="186"/>
      <c r="AA19" s="76">
        <v>3</v>
      </c>
      <c r="AB19" s="76">
        <f>H89</f>
        <v>4.7771749999999997</v>
      </c>
      <c r="AC19" s="76">
        <f>H90</f>
        <v>9.9718619999999998</v>
      </c>
      <c r="AD19" s="76">
        <f>H91</f>
        <v>4.4258959999999998</v>
      </c>
      <c r="AE19" s="76">
        <f>H93</f>
        <v>5.213419</v>
      </c>
      <c r="AF19" s="127">
        <f>H94</f>
        <v>10.065149</v>
      </c>
      <c r="AG19" s="76">
        <f>H95</f>
        <v>4.7835479999999997</v>
      </c>
      <c r="AH19" s="76">
        <f>H97</f>
        <v>5.3640509999999999</v>
      </c>
      <c r="AI19" s="76">
        <f>H98</f>
        <v>9.8737080000000006</v>
      </c>
      <c r="AJ19" s="76">
        <f>H99</f>
        <v>4.5620500000000002</v>
      </c>
    </row>
    <row r="20" spans="1:36" x14ac:dyDescent="0.25">
      <c r="A20" s="79"/>
      <c r="B20" s="5" t="s">
        <v>57</v>
      </c>
      <c r="C20" s="173">
        <f>SUM(E4:E17)/C19</f>
        <v>6.5845733184333763</v>
      </c>
      <c r="D20" s="174"/>
      <c r="E20" s="175"/>
      <c r="F20" s="192"/>
      <c r="G20" s="184">
        <f>SUM(I4:I17)/G19</f>
        <v>6.4592747116704796</v>
      </c>
      <c r="H20" s="185"/>
      <c r="I20" s="186"/>
      <c r="J20" s="192"/>
      <c r="K20" s="184">
        <f>SUM(M4:M17)/K19</f>
        <v>7.6162778611599302</v>
      </c>
      <c r="L20" s="185"/>
      <c r="M20" s="186"/>
      <c r="O20" s="173">
        <f>SUM(Q4:Q17)/O19</f>
        <v>6.3171543051084669</v>
      </c>
      <c r="P20" s="174"/>
      <c r="Q20" s="175"/>
      <c r="S20" s="173">
        <f>SUM(U4:U17)/S19</f>
        <v>16.548064777349229</v>
      </c>
      <c r="T20" s="174"/>
      <c r="U20" s="175"/>
      <c r="W20" s="184">
        <f>SUM(Y4:Y17)/W19</f>
        <v>6.1440859693962002</v>
      </c>
      <c r="X20" s="185"/>
      <c r="Y20" s="186"/>
      <c r="AA20" s="76">
        <v>4</v>
      </c>
      <c r="AB20" s="93">
        <f>L32</f>
        <v>4.943848</v>
      </c>
      <c r="AC20" s="93">
        <f>L33</f>
        <v>10.738019</v>
      </c>
      <c r="AD20" s="93">
        <f>L34</f>
        <v>4.7613979999999998</v>
      </c>
      <c r="AE20" s="93">
        <f>L36</f>
        <v>5.2356720000000001</v>
      </c>
      <c r="AF20" s="93">
        <f>L37</f>
        <v>10.777303</v>
      </c>
      <c r="AG20" s="93">
        <f>L38</f>
        <v>4.9161910000000004</v>
      </c>
      <c r="AH20" s="93">
        <f>L40</f>
        <v>5.4775140000000002</v>
      </c>
      <c r="AI20" s="93">
        <f>L41</f>
        <v>10.552583</v>
      </c>
      <c r="AJ20" s="93">
        <f>L42</f>
        <v>4.6301399999999999</v>
      </c>
    </row>
    <row r="21" spans="1:36" x14ac:dyDescent="0.25">
      <c r="D21" t="s">
        <v>61</v>
      </c>
      <c r="E21" t="s">
        <v>62</v>
      </c>
      <c r="H21" t="s">
        <v>61</v>
      </c>
      <c r="I21" t="s">
        <v>62</v>
      </c>
      <c r="L21" t="s">
        <v>61</v>
      </c>
      <c r="M21" t="s">
        <v>62</v>
      </c>
      <c r="P21" t="s">
        <v>61</v>
      </c>
      <c r="Q21" t="s">
        <v>62</v>
      </c>
      <c r="T21" t="s">
        <v>61</v>
      </c>
      <c r="U21" t="s">
        <v>62</v>
      </c>
      <c r="X21" t="s">
        <v>61</v>
      </c>
      <c r="Y21" t="s">
        <v>62</v>
      </c>
      <c r="AA21" s="32">
        <v>5</v>
      </c>
      <c r="AB21" s="76">
        <f>L5</f>
        <v>4.9809049999999999</v>
      </c>
      <c r="AC21" s="76">
        <f>L6</f>
        <v>11.629427</v>
      </c>
      <c r="AD21" s="76">
        <f>H7</f>
        <v>4.876455</v>
      </c>
      <c r="AE21" s="76">
        <f>H9</f>
        <v>5.362374</v>
      </c>
      <c r="AF21" s="76">
        <f>L10</f>
        <v>11.583441000000001</v>
      </c>
      <c r="AG21" s="76">
        <f>H11</f>
        <v>5.1053360000000003</v>
      </c>
      <c r="AH21" s="76">
        <f>L13</f>
        <v>5.3268009999999997</v>
      </c>
      <c r="AI21" s="32">
        <f>L14</f>
        <v>11.204613</v>
      </c>
      <c r="AJ21" s="32">
        <f>H15</f>
        <v>5.0735469999999996</v>
      </c>
    </row>
    <row r="22" spans="1:36" x14ac:dyDescent="0.25">
      <c r="B22" s="5" t="s">
        <v>60</v>
      </c>
      <c r="C22" s="78">
        <v>107677</v>
      </c>
      <c r="D22" s="78">
        <v>0.38146999999999998</v>
      </c>
      <c r="E22" s="77">
        <v>7.6249999999999998E-3</v>
      </c>
      <c r="G22" s="80">
        <v>104802</v>
      </c>
      <c r="H22" s="78">
        <v>0.305176</v>
      </c>
      <c r="I22" s="77">
        <v>1.2914E-2</v>
      </c>
      <c r="K22" s="78">
        <v>1056141</v>
      </c>
      <c r="L22" s="78">
        <v>0.33060699999999998</v>
      </c>
      <c r="M22" s="77">
        <v>1.0404999999999999E-2</v>
      </c>
      <c r="O22" s="78">
        <v>19139</v>
      </c>
      <c r="P22" s="78">
        <v>0.27974399999999999</v>
      </c>
      <c r="Q22" s="77">
        <v>7.4409999999999997E-3</v>
      </c>
      <c r="S22" s="78">
        <v>27154</v>
      </c>
      <c r="T22" s="78">
        <v>0.33060699999999998</v>
      </c>
      <c r="U22" s="77">
        <v>9.5300000000000003E-3</v>
      </c>
      <c r="W22" s="78">
        <v>97421</v>
      </c>
      <c r="X22" s="78">
        <f>AVERAGE(D22,H22,L22)</f>
        <v>0.33908433333333332</v>
      </c>
      <c r="Y22" s="77">
        <f>AVERAGE(E22,I22,M22,Q22,U22)</f>
        <v>9.5829999999999995E-3</v>
      </c>
      <c r="AA22" s="32">
        <v>6</v>
      </c>
      <c r="AB22" s="32">
        <f>L89</f>
        <v>5.9470150000000004</v>
      </c>
      <c r="AC22">
        <f>L90</f>
        <v>18.914626999999999</v>
      </c>
      <c r="AD22" s="32">
        <f>L91</f>
        <v>5.4050019999999996</v>
      </c>
      <c r="AE22" s="32">
        <f>L93</f>
        <v>6.1745109999999999</v>
      </c>
      <c r="AF22" s="32">
        <f>L94</f>
        <v>18.856100000000001</v>
      </c>
      <c r="AG22" s="32">
        <f>L95</f>
        <v>5.4143270000000001</v>
      </c>
      <c r="AH22" s="32">
        <f>L97</f>
        <v>6.2428790000000003</v>
      </c>
      <c r="AI22" s="32">
        <f>L98</f>
        <v>18.494408</v>
      </c>
      <c r="AJ22" s="32">
        <f>L99</f>
        <v>5.1099990000000002</v>
      </c>
    </row>
    <row r="23" spans="1:36" x14ac:dyDescent="0.25">
      <c r="X23" t="s">
        <v>63</v>
      </c>
      <c r="AA23" s="32">
        <v>7</v>
      </c>
      <c r="AB23" s="32">
        <f>P89</f>
        <v>6.2316500000000001</v>
      </c>
      <c r="AC23" s="32">
        <f>P90</f>
        <v>19.868566999999999</v>
      </c>
      <c r="AD23" s="32">
        <f>P91</f>
        <v>5.7581420000000003</v>
      </c>
      <c r="AE23" s="32">
        <f>P93</f>
        <v>6.5205890000000002</v>
      </c>
      <c r="AF23" s="32">
        <f>P94</f>
        <v>19.682791999999999</v>
      </c>
      <c r="AG23" s="32">
        <f>P95</f>
        <v>5.4726549999999996</v>
      </c>
      <c r="AH23" s="32">
        <f>P97</f>
        <v>6.4575189999999996</v>
      </c>
      <c r="AI23" s="32">
        <f>P98</f>
        <v>19.180436</v>
      </c>
      <c r="AJ23" s="32">
        <f>P99</f>
        <v>5.4897729999999996</v>
      </c>
    </row>
    <row r="24" spans="1:36" x14ac:dyDescent="0.25">
      <c r="AA24" s="32">
        <v>8</v>
      </c>
      <c r="AB24" s="102">
        <f>T32</f>
        <v>5.8</v>
      </c>
      <c r="AC24" s="102">
        <f>T33</f>
        <v>21.3</v>
      </c>
      <c r="AD24" s="102">
        <f>T34</f>
        <v>5.85</v>
      </c>
      <c r="AE24" s="102">
        <f>T36</f>
        <v>6.11</v>
      </c>
      <c r="AF24" s="102">
        <f>T37</f>
        <v>21.3</v>
      </c>
      <c r="AG24" s="102">
        <f>T38</f>
        <v>5.58</v>
      </c>
      <c r="AH24" s="102">
        <f>T40</f>
        <v>6.45</v>
      </c>
      <c r="AI24" s="102">
        <f>T41</f>
        <v>20.9</v>
      </c>
      <c r="AJ24" s="102">
        <f>T42</f>
        <v>5.63</v>
      </c>
    </row>
    <row r="25" spans="1:36" x14ac:dyDescent="0.25">
      <c r="AA25" s="32">
        <v>9</v>
      </c>
      <c r="AB25" s="32">
        <f>T89</f>
        <v>7.1266369999999997</v>
      </c>
      <c r="AC25" s="32">
        <f>T90</f>
        <v>25.183712</v>
      </c>
      <c r="AD25" s="32">
        <f>T91</f>
        <v>6.1092579999999996</v>
      </c>
      <c r="AE25" s="32">
        <f>T93</f>
        <v>7.341825</v>
      </c>
      <c r="AF25" s="32">
        <f>T94</f>
        <v>24.990151999999998</v>
      </c>
      <c r="AG25" s="122">
        <f>T95</f>
        <v>6.1280989999999997</v>
      </c>
      <c r="AH25" s="32">
        <f>T97</f>
        <v>8.0419470000000004</v>
      </c>
      <c r="AI25" s="32">
        <f>T98</f>
        <v>23.873464999999999</v>
      </c>
      <c r="AJ25" s="32">
        <f>T99</f>
        <v>6.4873690000000002</v>
      </c>
    </row>
    <row r="26" spans="1:36" x14ac:dyDescent="0.25">
      <c r="AA26" s="32">
        <v>10</v>
      </c>
      <c r="AB26" s="32">
        <f>T5</f>
        <v>7.8236889999999999</v>
      </c>
      <c r="AC26" s="32">
        <f>T6</f>
        <v>33.265203999999997</v>
      </c>
      <c r="AD26" s="32">
        <f>T7</f>
        <v>5.3380330000000002</v>
      </c>
      <c r="AE26" s="32">
        <f>T9</f>
        <v>8.1178880000000007</v>
      </c>
      <c r="AF26" s="32">
        <f>T10</f>
        <v>32.417957999999999</v>
      </c>
      <c r="AG26" s="32">
        <f>T11</f>
        <v>5.2809439999999999</v>
      </c>
      <c r="AH26" s="32">
        <f>T13</f>
        <v>7.9451660000000004</v>
      </c>
      <c r="AI26" s="32">
        <f>T14</f>
        <v>34.514474</v>
      </c>
      <c r="AJ26" s="32">
        <f>T15</f>
        <v>5.5001790000000002</v>
      </c>
    </row>
    <row r="28" spans="1:36" x14ac:dyDescent="0.25">
      <c r="A28" s="176" t="s">
        <v>59</v>
      </c>
      <c r="B28" s="176"/>
      <c r="C28" s="194" t="s">
        <v>125</v>
      </c>
      <c r="D28" s="195"/>
      <c r="E28" s="196"/>
      <c r="F28" s="190"/>
      <c r="G28" s="194" t="s">
        <v>126</v>
      </c>
      <c r="H28" s="195"/>
      <c r="I28" s="196"/>
      <c r="J28" s="190"/>
      <c r="K28" s="194" t="s">
        <v>127</v>
      </c>
      <c r="L28" s="195"/>
      <c r="M28" s="196"/>
      <c r="N28" s="190"/>
      <c r="O28" s="194" t="s">
        <v>128</v>
      </c>
      <c r="P28" s="195"/>
      <c r="Q28" s="196"/>
      <c r="R28" s="190"/>
      <c r="S28" s="194" t="s">
        <v>129</v>
      </c>
      <c r="T28" s="195"/>
      <c r="U28" s="196"/>
      <c r="V28" s="190"/>
      <c r="W28" s="194" t="s">
        <v>130</v>
      </c>
      <c r="X28" s="195"/>
      <c r="Y28" s="196"/>
    </row>
    <row r="29" spans="1:36" x14ac:dyDescent="0.25">
      <c r="A29" s="176"/>
      <c r="B29" s="176"/>
      <c r="C29" s="197"/>
      <c r="D29" s="198"/>
      <c r="E29" s="199"/>
      <c r="F29" s="191"/>
      <c r="G29" s="197"/>
      <c r="H29" s="198"/>
      <c r="I29" s="199"/>
      <c r="J29" s="191"/>
      <c r="K29" s="197"/>
      <c r="L29" s="198"/>
      <c r="M29" s="199"/>
      <c r="N29" s="191"/>
      <c r="O29" s="197"/>
      <c r="P29" s="198"/>
      <c r="Q29" s="199"/>
      <c r="R29" s="191"/>
      <c r="S29" s="197"/>
      <c r="T29" s="198"/>
      <c r="U29" s="199"/>
      <c r="V29" s="191"/>
      <c r="W29" s="197"/>
      <c r="X29" s="198"/>
      <c r="Y29" s="199"/>
    </row>
    <row r="30" spans="1:36" ht="45" x14ac:dyDescent="0.25">
      <c r="A30" s="5"/>
      <c r="B30" s="5" t="s">
        <v>19</v>
      </c>
      <c r="C30" s="77" t="s">
        <v>53</v>
      </c>
      <c r="D30" s="77" t="s">
        <v>54</v>
      </c>
      <c r="E30" s="77" t="s">
        <v>55</v>
      </c>
      <c r="F30" s="191"/>
      <c r="G30" s="77" t="s">
        <v>53</v>
      </c>
      <c r="H30" s="77" t="s">
        <v>54</v>
      </c>
      <c r="I30" s="77" t="s">
        <v>55</v>
      </c>
      <c r="J30" s="191"/>
      <c r="K30" s="77" t="s">
        <v>53</v>
      </c>
      <c r="L30" s="77" t="s">
        <v>54</v>
      </c>
      <c r="M30" s="77" t="s">
        <v>55</v>
      </c>
      <c r="N30" s="191"/>
      <c r="O30" s="77" t="s">
        <v>53</v>
      </c>
      <c r="P30" s="77" t="s">
        <v>54</v>
      </c>
      <c r="Q30" s="77" t="s">
        <v>55</v>
      </c>
      <c r="R30" s="191"/>
      <c r="S30" s="77" t="s">
        <v>53</v>
      </c>
      <c r="T30" s="77" t="s">
        <v>54</v>
      </c>
      <c r="U30" s="77" t="s">
        <v>55</v>
      </c>
      <c r="V30" s="191"/>
      <c r="W30" s="77" t="s">
        <v>53</v>
      </c>
      <c r="X30" s="77" t="s">
        <v>54</v>
      </c>
      <c r="Y30" s="77" t="s">
        <v>55</v>
      </c>
    </row>
    <row r="31" spans="1:36" x14ac:dyDescent="0.25">
      <c r="A31" s="5">
        <v>1</v>
      </c>
      <c r="B31" s="5" t="s">
        <v>23</v>
      </c>
      <c r="C31" s="100">
        <v>301</v>
      </c>
      <c r="D31" s="100">
        <v>4.2207499999999998</v>
      </c>
      <c r="E31" s="77">
        <f>C31*D31</f>
        <v>1270.4457499999999</v>
      </c>
      <c r="F31" s="191"/>
      <c r="G31" s="99">
        <v>295</v>
      </c>
      <c r="H31" s="99">
        <v>4.3</v>
      </c>
      <c r="I31" s="77">
        <f>G31*H31</f>
        <v>1268.5</v>
      </c>
      <c r="J31" s="191"/>
      <c r="K31" s="100">
        <v>296</v>
      </c>
      <c r="L31" s="100">
        <v>3.9086639999999999</v>
      </c>
      <c r="M31" s="77">
        <f>K31*L31</f>
        <v>1156.9645439999999</v>
      </c>
      <c r="N31" s="191"/>
      <c r="O31" s="100">
        <v>291</v>
      </c>
      <c r="P31" s="100">
        <v>4.3189390000000003</v>
      </c>
      <c r="Q31" s="77">
        <f>O31*P31</f>
        <v>1256.8112490000001</v>
      </c>
      <c r="R31" s="191"/>
      <c r="S31" s="100">
        <v>283</v>
      </c>
      <c r="T31" s="100">
        <v>4.16</v>
      </c>
      <c r="U31" s="77">
        <f>S31*T31</f>
        <v>1177.28</v>
      </c>
      <c r="V31" s="191"/>
      <c r="W31" s="100">
        <v>295</v>
      </c>
      <c r="X31" s="100">
        <v>4.1900000000000004</v>
      </c>
      <c r="Y31" s="77">
        <f>W31*X31</f>
        <v>1236.0500000000002</v>
      </c>
    </row>
    <row r="32" spans="1:36" x14ac:dyDescent="0.25">
      <c r="A32" s="5">
        <v>2</v>
      </c>
      <c r="B32" s="5" t="s">
        <v>24</v>
      </c>
      <c r="C32" s="99">
        <v>125</v>
      </c>
      <c r="D32" s="99">
        <v>4.5033770000000004</v>
      </c>
      <c r="E32" s="77">
        <f t="shared" ref="E32:E44" si="7">C32*D32</f>
        <v>562.92212500000005</v>
      </c>
      <c r="F32" s="191"/>
      <c r="G32" s="99">
        <v>121</v>
      </c>
      <c r="H32" s="99">
        <v>5.1100000000000003</v>
      </c>
      <c r="I32" s="77">
        <f t="shared" ref="I32:I44" si="8">G32*H32</f>
        <v>618.31000000000006</v>
      </c>
      <c r="J32" s="191"/>
      <c r="K32" s="99">
        <v>120</v>
      </c>
      <c r="L32" s="99">
        <v>4.943848</v>
      </c>
      <c r="M32" s="77">
        <f t="shared" ref="M32:M44" si="9">K32*L32</f>
        <v>593.26175999999998</v>
      </c>
      <c r="N32" s="191"/>
      <c r="O32" s="99">
        <v>123</v>
      </c>
      <c r="P32" s="99">
        <v>5.3456619999999999</v>
      </c>
      <c r="Q32" s="77">
        <f t="shared" ref="Q32:Q44" si="10">O32*P32</f>
        <v>657.51642600000002</v>
      </c>
      <c r="R32" s="191"/>
      <c r="S32" s="99">
        <v>124</v>
      </c>
      <c r="T32" s="99">
        <v>5.8</v>
      </c>
      <c r="U32" s="77">
        <f t="shared" ref="U32:U44" si="11">S32*T32</f>
        <v>719.19999999999993</v>
      </c>
      <c r="V32" s="191"/>
      <c r="W32" s="99">
        <v>125</v>
      </c>
      <c r="X32" s="99">
        <v>7.366943</v>
      </c>
      <c r="Y32" s="77">
        <f t="shared" ref="Y32:Y44" si="12">W32*X32</f>
        <v>920.86787500000003</v>
      </c>
    </row>
    <row r="33" spans="1:25" s="92" customFormat="1" x14ac:dyDescent="0.25">
      <c r="A33" s="90">
        <v>3</v>
      </c>
      <c r="B33" s="90" t="s">
        <v>25</v>
      </c>
      <c r="C33" s="99">
        <v>370</v>
      </c>
      <c r="D33" s="99">
        <v>9.8316090000000003</v>
      </c>
      <c r="E33" s="91">
        <f t="shared" si="7"/>
        <v>3637.69533</v>
      </c>
      <c r="F33" s="191"/>
      <c r="G33" s="99">
        <v>369</v>
      </c>
      <c r="H33" s="99">
        <v>10.52</v>
      </c>
      <c r="I33" s="91">
        <f t="shared" si="8"/>
        <v>3881.8799999999997</v>
      </c>
      <c r="J33" s="191"/>
      <c r="K33" s="99">
        <v>367</v>
      </c>
      <c r="L33" s="99">
        <v>10.738019</v>
      </c>
      <c r="M33" s="91">
        <f t="shared" si="9"/>
        <v>3940.852973</v>
      </c>
      <c r="N33" s="191"/>
      <c r="O33" s="99">
        <v>371</v>
      </c>
      <c r="P33" s="99">
        <v>11.723488</v>
      </c>
      <c r="Q33" s="91">
        <f t="shared" si="10"/>
        <v>4349.4140479999996</v>
      </c>
      <c r="R33" s="191"/>
      <c r="S33" s="99">
        <v>366</v>
      </c>
      <c r="T33" s="99">
        <v>21.3</v>
      </c>
      <c r="U33" s="91">
        <f t="shared" si="11"/>
        <v>7795.8</v>
      </c>
      <c r="V33" s="191"/>
      <c r="W33" s="99">
        <v>365</v>
      </c>
      <c r="X33" s="99">
        <v>23.537741</v>
      </c>
      <c r="Y33" s="91">
        <f t="shared" si="12"/>
        <v>8591.2754650000006</v>
      </c>
    </row>
    <row r="34" spans="1:25" s="120" customFormat="1" x14ac:dyDescent="0.25">
      <c r="A34" s="118">
        <v>4</v>
      </c>
      <c r="B34" s="118" t="s">
        <v>26</v>
      </c>
      <c r="C34" s="125">
        <v>150</v>
      </c>
      <c r="D34" s="125">
        <v>4.3860539999999997</v>
      </c>
      <c r="E34" s="119">
        <f t="shared" si="7"/>
        <v>657.90809999999999</v>
      </c>
      <c r="F34" s="191"/>
      <c r="G34" s="125">
        <v>150</v>
      </c>
      <c r="H34" s="125">
        <v>4.8</v>
      </c>
      <c r="I34" s="119">
        <f t="shared" si="8"/>
        <v>720</v>
      </c>
      <c r="J34" s="191"/>
      <c r="K34" s="125">
        <v>152</v>
      </c>
      <c r="L34" s="125">
        <v>4.7613979999999998</v>
      </c>
      <c r="M34" s="119">
        <f t="shared" si="9"/>
        <v>723.73249599999997</v>
      </c>
      <c r="N34" s="191"/>
      <c r="O34" s="125">
        <v>150</v>
      </c>
      <c r="P34" s="125">
        <v>5.0148910000000004</v>
      </c>
      <c r="Q34" s="119">
        <f t="shared" si="10"/>
        <v>752.23365000000001</v>
      </c>
      <c r="R34" s="191"/>
      <c r="S34" s="125">
        <v>150</v>
      </c>
      <c r="T34" s="125">
        <v>5.85</v>
      </c>
      <c r="U34" s="119">
        <f t="shared" si="11"/>
        <v>877.5</v>
      </c>
      <c r="V34" s="191"/>
      <c r="W34" s="125">
        <v>151</v>
      </c>
      <c r="X34" s="125">
        <v>6.3479840000000003</v>
      </c>
      <c r="Y34" s="119">
        <f t="shared" si="12"/>
        <v>958.54558400000008</v>
      </c>
    </row>
    <row r="35" spans="1:25" x14ac:dyDescent="0.25">
      <c r="A35" s="5">
        <v>5</v>
      </c>
      <c r="B35" s="5" t="s">
        <v>27</v>
      </c>
      <c r="C35" s="99">
        <v>147</v>
      </c>
      <c r="D35" s="99">
        <v>6.8927339999999999</v>
      </c>
      <c r="E35" s="77">
        <f t="shared" si="7"/>
        <v>1013.231898</v>
      </c>
      <c r="F35" s="191"/>
      <c r="G35" s="99">
        <v>115</v>
      </c>
      <c r="H35" s="99">
        <v>7.59</v>
      </c>
      <c r="I35" s="77">
        <f t="shared" si="8"/>
        <v>872.85</v>
      </c>
      <c r="J35" s="191"/>
      <c r="K35" s="99">
        <v>152</v>
      </c>
      <c r="L35" s="99">
        <v>6.7237109999999998</v>
      </c>
      <c r="M35" s="77">
        <f t="shared" si="9"/>
        <v>1022.004072</v>
      </c>
      <c r="N35" s="191"/>
      <c r="O35" s="99">
        <v>145</v>
      </c>
      <c r="P35" s="99">
        <v>7.2707249999999997</v>
      </c>
      <c r="Q35" s="77">
        <f t="shared" si="10"/>
        <v>1054.2551249999999</v>
      </c>
      <c r="R35" s="191"/>
      <c r="S35" s="99">
        <v>119</v>
      </c>
      <c r="T35" s="99">
        <v>6.94</v>
      </c>
      <c r="U35" s="77">
        <f t="shared" si="11"/>
        <v>825.86</v>
      </c>
      <c r="V35" s="191"/>
      <c r="W35" s="99">
        <v>146</v>
      </c>
      <c r="X35" s="99">
        <v>7.2911580000000002</v>
      </c>
      <c r="Y35" s="77">
        <f t="shared" si="12"/>
        <v>1064.5090680000001</v>
      </c>
    </row>
    <row r="36" spans="1:25" s="120" customFormat="1" x14ac:dyDescent="0.25">
      <c r="A36" s="118">
        <v>6</v>
      </c>
      <c r="B36" s="118" t="s">
        <v>28</v>
      </c>
      <c r="C36" s="125">
        <v>120</v>
      </c>
      <c r="D36" s="125">
        <v>5.2103679999999999</v>
      </c>
      <c r="E36" s="119">
        <f t="shared" si="7"/>
        <v>625.24415999999997</v>
      </c>
      <c r="F36" s="191"/>
      <c r="G36" s="125">
        <v>154</v>
      </c>
      <c r="H36" s="125">
        <v>5.54</v>
      </c>
      <c r="I36" s="119">
        <f t="shared" si="8"/>
        <v>853.16</v>
      </c>
      <c r="J36" s="191"/>
      <c r="K36" s="125">
        <v>120</v>
      </c>
      <c r="L36" s="125">
        <v>5.2356720000000001</v>
      </c>
      <c r="M36" s="119">
        <f t="shared" si="9"/>
        <v>628.28064000000006</v>
      </c>
      <c r="N36" s="191"/>
      <c r="O36" s="125">
        <v>125</v>
      </c>
      <c r="P36" s="125">
        <v>5.938212</v>
      </c>
      <c r="Q36" s="119">
        <f t="shared" si="10"/>
        <v>742.27650000000006</v>
      </c>
      <c r="R36" s="191"/>
      <c r="S36" s="125">
        <v>150</v>
      </c>
      <c r="T36" s="125">
        <v>6.11</v>
      </c>
      <c r="U36" s="119">
        <f t="shared" si="11"/>
        <v>916.5</v>
      </c>
      <c r="V36" s="191"/>
      <c r="W36" s="125">
        <v>125</v>
      </c>
      <c r="X36" s="125">
        <v>8.2857179999999993</v>
      </c>
      <c r="Y36" s="119">
        <f t="shared" si="12"/>
        <v>1035.7147499999999</v>
      </c>
    </row>
    <row r="37" spans="1:25" s="92" customFormat="1" x14ac:dyDescent="0.25">
      <c r="A37" s="90">
        <v>7</v>
      </c>
      <c r="B37" s="90" t="s">
        <v>25</v>
      </c>
      <c r="C37" s="100">
        <v>363</v>
      </c>
      <c r="D37" s="100">
        <v>9.8034180000000006</v>
      </c>
      <c r="E37" s="91">
        <f t="shared" si="7"/>
        <v>3558.6407340000001</v>
      </c>
      <c r="F37" s="191"/>
      <c r="G37" s="100">
        <v>374</v>
      </c>
      <c r="H37" s="100">
        <v>10.6</v>
      </c>
      <c r="I37" s="91">
        <f t="shared" si="8"/>
        <v>3964.4</v>
      </c>
      <c r="J37" s="191"/>
      <c r="K37" s="100">
        <v>367</v>
      </c>
      <c r="L37" s="100">
        <v>10.777303</v>
      </c>
      <c r="M37" s="91">
        <f t="shared" si="9"/>
        <v>3955.2702009999998</v>
      </c>
      <c r="N37" s="191"/>
      <c r="O37" s="100">
        <v>371</v>
      </c>
      <c r="P37" s="100">
        <v>11.692482</v>
      </c>
      <c r="Q37" s="91">
        <f t="shared" si="10"/>
        <v>4337.9108219999998</v>
      </c>
      <c r="R37" s="191"/>
      <c r="S37" s="100">
        <v>373</v>
      </c>
      <c r="T37" s="100">
        <v>21.3</v>
      </c>
      <c r="U37" s="91">
        <f t="shared" si="11"/>
        <v>7944.9000000000005</v>
      </c>
      <c r="V37" s="191"/>
      <c r="W37" s="100">
        <v>368</v>
      </c>
      <c r="X37" s="100">
        <v>23.326167000000002</v>
      </c>
      <c r="Y37" s="91">
        <f t="shared" si="12"/>
        <v>8584.0294560000002</v>
      </c>
    </row>
    <row r="38" spans="1:25" s="120" customFormat="1" x14ac:dyDescent="0.25">
      <c r="A38" s="118">
        <v>8</v>
      </c>
      <c r="B38" s="118" t="s">
        <v>26</v>
      </c>
      <c r="C38" s="126">
        <v>150</v>
      </c>
      <c r="D38" s="126">
        <v>4.7499130000000003</v>
      </c>
      <c r="E38" s="119">
        <f t="shared" si="7"/>
        <v>712.48695000000009</v>
      </c>
      <c r="F38" s="191"/>
      <c r="G38" s="126">
        <v>149</v>
      </c>
      <c r="H38" s="126">
        <v>4.72</v>
      </c>
      <c r="I38" s="119">
        <f t="shared" si="8"/>
        <v>703.28</v>
      </c>
      <c r="J38" s="191"/>
      <c r="K38" s="126">
        <v>155</v>
      </c>
      <c r="L38" s="126">
        <v>4.9161910000000004</v>
      </c>
      <c r="M38" s="119">
        <f t="shared" si="9"/>
        <v>762.00960500000008</v>
      </c>
      <c r="N38" s="191"/>
      <c r="O38" s="126">
        <v>153</v>
      </c>
      <c r="P38" s="126">
        <v>4.9139860000000004</v>
      </c>
      <c r="Q38" s="119">
        <f t="shared" si="10"/>
        <v>751.83985800000005</v>
      </c>
      <c r="R38" s="191"/>
      <c r="S38" s="126">
        <v>150</v>
      </c>
      <c r="T38" s="126">
        <v>5.58</v>
      </c>
      <c r="U38" s="119">
        <f t="shared" si="11"/>
        <v>837</v>
      </c>
      <c r="V38" s="191"/>
      <c r="W38" s="126">
        <v>151</v>
      </c>
      <c r="X38" s="126">
        <v>6.4160740000000001</v>
      </c>
      <c r="Y38" s="119">
        <f t="shared" si="12"/>
        <v>968.82717400000001</v>
      </c>
    </row>
    <row r="39" spans="1:25" x14ac:dyDescent="0.25">
      <c r="A39" s="5">
        <v>9</v>
      </c>
      <c r="B39" s="5" t="s">
        <v>27</v>
      </c>
      <c r="C39" s="100">
        <v>150</v>
      </c>
      <c r="D39" s="100">
        <v>6.7528620000000004</v>
      </c>
      <c r="E39" s="77">
        <f t="shared" si="7"/>
        <v>1012.9293</v>
      </c>
      <c r="F39" s="191"/>
      <c r="G39" s="100">
        <v>113</v>
      </c>
      <c r="H39" s="100">
        <v>7.57</v>
      </c>
      <c r="I39" s="77">
        <f t="shared" si="8"/>
        <v>855.41000000000008</v>
      </c>
      <c r="J39" s="191"/>
      <c r="K39" s="100">
        <v>148</v>
      </c>
      <c r="L39" s="100">
        <v>6.7638819999999997</v>
      </c>
      <c r="M39" s="77">
        <f t="shared" si="9"/>
        <v>1001.054536</v>
      </c>
      <c r="N39" s="191"/>
      <c r="O39" s="100">
        <v>140</v>
      </c>
      <c r="P39" s="100">
        <v>7.3105950000000002</v>
      </c>
      <c r="Q39" s="77">
        <f t="shared" si="10"/>
        <v>1023.4833</v>
      </c>
      <c r="R39" s="191"/>
      <c r="S39" s="100">
        <v>114</v>
      </c>
      <c r="T39" s="100">
        <v>7</v>
      </c>
      <c r="U39" s="77">
        <f t="shared" si="11"/>
        <v>798</v>
      </c>
      <c r="V39" s="191"/>
      <c r="W39" s="100">
        <v>146</v>
      </c>
      <c r="X39" s="100">
        <v>7.3471070000000003</v>
      </c>
      <c r="Y39" s="77">
        <f t="shared" si="12"/>
        <v>1072.6776219999999</v>
      </c>
    </row>
    <row r="40" spans="1:25" s="120" customFormat="1" x14ac:dyDescent="0.25">
      <c r="A40" s="118">
        <v>10</v>
      </c>
      <c r="B40" s="118" t="s">
        <v>28</v>
      </c>
      <c r="C40" s="126">
        <v>128</v>
      </c>
      <c r="D40" s="126">
        <v>5.2554790000000002</v>
      </c>
      <c r="E40" s="119">
        <f t="shared" si="7"/>
        <v>672.70131200000003</v>
      </c>
      <c r="F40" s="191"/>
      <c r="G40" s="126">
        <v>151</v>
      </c>
      <c r="H40" s="126">
        <v>5.44</v>
      </c>
      <c r="I40" s="119">
        <f t="shared" si="8"/>
        <v>821.44</v>
      </c>
      <c r="J40" s="191"/>
      <c r="K40" s="126">
        <v>131</v>
      </c>
      <c r="L40" s="126">
        <v>5.4775140000000002</v>
      </c>
      <c r="M40" s="119">
        <f t="shared" si="9"/>
        <v>717.55433400000004</v>
      </c>
      <c r="N40" s="191"/>
      <c r="O40" s="126">
        <v>120</v>
      </c>
      <c r="P40" s="126">
        <v>5.6508380000000002</v>
      </c>
      <c r="Q40" s="119">
        <f t="shared" si="10"/>
        <v>678.10056000000009</v>
      </c>
      <c r="R40" s="191"/>
      <c r="S40" s="126">
        <v>150</v>
      </c>
      <c r="T40" s="126">
        <v>6.45</v>
      </c>
      <c r="U40" s="119">
        <f t="shared" si="11"/>
        <v>967.5</v>
      </c>
      <c r="V40" s="191"/>
      <c r="W40" s="126">
        <v>125</v>
      </c>
      <c r="X40" s="126">
        <v>7.5449619999999999</v>
      </c>
      <c r="Y40" s="119">
        <f t="shared" si="12"/>
        <v>943.12024999999994</v>
      </c>
    </row>
    <row r="41" spans="1:25" s="92" customFormat="1" x14ac:dyDescent="0.25">
      <c r="A41" s="90">
        <v>11</v>
      </c>
      <c r="B41" s="90" t="s">
        <v>25</v>
      </c>
      <c r="C41" s="100">
        <v>363</v>
      </c>
      <c r="D41" s="100">
        <v>9.5816009999999991</v>
      </c>
      <c r="E41" s="91">
        <f t="shared" si="7"/>
        <v>3478.1211629999998</v>
      </c>
      <c r="F41" s="191"/>
      <c r="G41" s="100">
        <v>377</v>
      </c>
      <c r="H41" s="100">
        <v>10.5</v>
      </c>
      <c r="I41" s="91">
        <f t="shared" si="8"/>
        <v>3958.5</v>
      </c>
      <c r="J41" s="191"/>
      <c r="K41" s="100">
        <v>363</v>
      </c>
      <c r="L41" s="100">
        <v>10.552583</v>
      </c>
      <c r="M41" s="91">
        <f t="shared" si="9"/>
        <v>3830.5876290000001</v>
      </c>
      <c r="N41" s="191"/>
      <c r="O41" s="100">
        <v>371</v>
      </c>
      <c r="P41" s="100">
        <v>11.398106</v>
      </c>
      <c r="Q41" s="91">
        <f t="shared" si="10"/>
        <v>4228.6973260000004</v>
      </c>
      <c r="R41" s="191"/>
      <c r="S41" s="100">
        <v>371</v>
      </c>
      <c r="T41" s="100">
        <v>20.9</v>
      </c>
      <c r="U41" s="91">
        <f t="shared" si="11"/>
        <v>7753.9</v>
      </c>
      <c r="V41" s="191"/>
      <c r="W41" s="100">
        <v>365</v>
      </c>
      <c r="X41" s="100">
        <v>22.766677999999999</v>
      </c>
      <c r="Y41" s="91">
        <f t="shared" si="12"/>
        <v>8309.8374700000004</v>
      </c>
    </row>
    <row r="42" spans="1:25" s="120" customFormat="1" x14ac:dyDescent="0.25">
      <c r="A42" s="118">
        <v>12</v>
      </c>
      <c r="B42" s="118" t="s">
        <v>26</v>
      </c>
      <c r="C42" s="126">
        <v>154</v>
      </c>
      <c r="D42" s="126">
        <v>4.5481030000000002</v>
      </c>
      <c r="E42" s="119">
        <f t="shared" si="7"/>
        <v>700.40786200000002</v>
      </c>
      <c r="F42" s="191"/>
      <c r="G42" s="126">
        <v>150</v>
      </c>
      <c r="H42" s="126">
        <v>4.68</v>
      </c>
      <c r="I42" s="119">
        <f t="shared" si="8"/>
        <v>702</v>
      </c>
      <c r="J42" s="191"/>
      <c r="K42" s="126">
        <v>152</v>
      </c>
      <c r="L42" s="126">
        <v>4.6301399999999999</v>
      </c>
      <c r="M42" s="119">
        <f t="shared" si="9"/>
        <v>703.78128000000004</v>
      </c>
      <c r="N42" s="191"/>
      <c r="O42" s="126">
        <v>150</v>
      </c>
      <c r="P42" s="126">
        <v>5.0920050000000003</v>
      </c>
      <c r="Q42" s="119">
        <f t="shared" si="10"/>
        <v>763.80075000000011</v>
      </c>
      <c r="R42" s="191"/>
      <c r="S42" s="126">
        <v>150</v>
      </c>
      <c r="T42" s="126">
        <v>5.63</v>
      </c>
      <c r="U42" s="119">
        <f t="shared" si="11"/>
        <v>844.5</v>
      </c>
      <c r="V42" s="191"/>
      <c r="W42" s="126">
        <v>151</v>
      </c>
      <c r="X42" s="126">
        <v>6.3627510000000003</v>
      </c>
      <c r="Y42" s="119">
        <f t="shared" si="12"/>
        <v>960.77540099999999</v>
      </c>
    </row>
    <row r="43" spans="1:25" x14ac:dyDescent="0.25">
      <c r="A43" s="5">
        <v>13</v>
      </c>
      <c r="B43" s="5" t="s">
        <v>27</v>
      </c>
      <c r="C43" s="100">
        <v>158</v>
      </c>
      <c r="D43" s="100">
        <v>6.7957239999999999</v>
      </c>
      <c r="E43" s="77">
        <f t="shared" si="7"/>
        <v>1073.7243920000001</v>
      </c>
      <c r="F43" s="191"/>
      <c r="G43" s="100">
        <v>111</v>
      </c>
      <c r="H43" s="100">
        <v>7.57</v>
      </c>
      <c r="I43" s="77">
        <f t="shared" si="8"/>
        <v>840.27</v>
      </c>
      <c r="J43" s="191"/>
      <c r="K43" s="100">
        <v>155</v>
      </c>
      <c r="L43" s="100">
        <v>6.7163279999999999</v>
      </c>
      <c r="M43" s="77">
        <f t="shared" si="9"/>
        <v>1041.0308399999999</v>
      </c>
      <c r="N43" s="191"/>
      <c r="O43" s="100">
        <v>153</v>
      </c>
      <c r="P43" s="100">
        <v>7.3217569999999998</v>
      </c>
      <c r="Q43" s="77">
        <f t="shared" si="10"/>
        <v>1120.2288209999999</v>
      </c>
      <c r="R43" s="191"/>
      <c r="S43" s="100">
        <v>119</v>
      </c>
      <c r="T43" s="100">
        <v>7.1</v>
      </c>
      <c r="U43" s="77">
        <f t="shared" si="11"/>
        <v>844.9</v>
      </c>
      <c r="V43" s="191"/>
      <c r="W43" s="100">
        <v>154</v>
      </c>
      <c r="X43" s="100">
        <v>7.3053499999999998</v>
      </c>
      <c r="Y43" s="77">
        <f t="shared" si="12"/>
        <v>1125.0238999999999</v>
      </c>
    </row>
    <row r="44" spans="1:25" x14ac:dyDescent="0.25">
      <c r="A44" s="5">
        <v>14</v>
      </c>
      <c r="B44" s="5" t="s">
        <v>29</v>
      </c>
      <c r="C44" s="100">
        <v>209</v>
      </c>
      <c r="D44" s="100">
        <v>4.0126980000000003</v>
      </c>
      <c r="E44" s="77">
        <f t="shared" si="7"/>
        <v>838.65388200000007</v>
      </c>
      <c r="F44" s="191"/>
      <c r="G44" s="100">
        <v>225</v>
      </c>
      <c r="H44" s="100">
        <v>5.42</v>
      </c>
      <c r="I44" s="77">
        <f t="shared" si="8"/>
        <v>1219.5</v>
      </c>
      <c r="J44" s="191"/>
      <c r="K44" s="100">
        <v>205</v>
      </c>
      <c r="L44" s="100">
        <v>4.2916889999999999</v>
      </c>
      <c r="M44" s="77">
        <f t="shared" si="9"/>
        <v>879.796245</v>
      </c>
      <c r="N44" s="191"/>
      <c r="O44" s="100">
        <v>206</v>
      </c>
      <c r="P44" s="100">
        <v>4.5621299999999998</v>
      </c>
      <c r="Q44" s="77">
        <f t="shared" si="10"/>
        <v>939.79877999999997</v>
      </c>
      <c r="R44" s="191"/>
      <c r="S44" s="100">
        <v>218</v>
      </c>
      <c r="T44" s="100">
        <v>5.0999999999999996</v>
      </c>
      <c r="U44" s="77">
        <f t="shared" si="11"/>
        <v>1111.8</v>
      </c>
      <c r="V44" s="191"/>
      <c r="W44" s="100">
        <v>206</v>
      </c>
      <c r="X44" s="100">
        <v>4.648968</v>
      </c>
      <c r="Y44" s="77">
        <f t="shared" si="12"/>
        <v>957.687408</v>
      </c>
    </row>
    <row r="45" spans="1:25" x14ac:dyDescent="0.25">
      <c r="A45" s="5">
        <v>15</v>
      </c>
      <c r="B45" s="5" t="s">
        <v>60</v>
      </c>
      <c r="C45" s="78"/>
      <c r="D45" s="78"/>
      <c r="E45" s="77"/>
      <c r="F45" s="191"/>
      <c r="G45" s="78"/>
      <c r="H45" s="78"/>
      <c r="I45" s="77"/>
      <c r="J45" s="191"/>
      <c r="K45" s="78"/>
      <c r="L45" s="78"/>
      <c r="M45" s="77"/>
      <c r="N45" s="191"/>
      <c r="O45" s="78"/>
      <c r="P45" s="78"/>
      <c r="Q45" s="77"/>
      <c r="R45" s="191"/>
      <c r="S45" s="78"/>
      <c r="T45" s="78"/>
      <c r="U45" s="77"/>
      <c r="V45" s="191"/>
      <c r="W45" s="78"/>
      <c r="X45" s="78"/>
      <c r="Y45" s="77"/>
    </row>
    <row r="46" spans="1:25" x14ac:dyDescent="0.25">
      <c r="A46" s="79"/>
      <c r="B46" s="5" t="s">
        <v>56</v>
      </c>
      <c r="C46" s="173">
        <f>SUM(C31:C44)</f>
        <v>2888</v>
      </c>
      <c r="D46" s="174"/>
      <c r="E46" s="175"/>
      <c r="F46" s="191"/>
      <c r="G46" s="184">
        <f>SUM(G31:G44)</f>
        <v>2854</v>
      </c>
      <c r="H46" s="185"/>
      <c r="I46" s="186"/>
      <c r="J46" s="191"/>
      <c r="K46" s="184">
        <f>SUM(K31:K44)</f>
        <v>2883</v>
      </c>
      <c r="L46" s="185"/>
      <c r="M46" s="186"/>
      <c r="N46" s="191"/>
      <c r="O46" s="184">
        <f>SUM(O31:O44)</f>
        <v>2869</v>
      </c>
      <c r="P46" s="185"/>
      <c r="Q46" s="186"/>
      <c r="R46" s="191"/>
      <c r="S46" s="184">
        <f>SUM(S31:S44)</f>
        <v>2837</v>
      </c>
      <c r="T46" s="185"/>
      <c r="U46" s="186"/>
      <c r="V46" s="191"/>
      <c r="W46" s="184">
        <f>SUM(W31:W44)</f>
        <v>2873</v>
      </c>
      <c r="X46" s="185"/>
      <c r="Y46" s="186"/>
    </row>
    <row r="47" spans="1:25" x14ac:dyDescent="0.25">
      <c r="A47" s="79"/>
      <c r="B47" s="5" t="s">
        <v>57</v>
      </c>
      <c r="C47" s="173">
        <f>SUM(E31:E44)/C46</f>
        <v>6.8611886973684202</v>
      </c>
      <c r="D47" s="174"/>
      <c r="E47" s="175"/>
      <c r="F47" s="192"/>
      <c r="G47" s="184">
        <f>SUM(I31:I44)/G46</f>
        <v>7.4560266292922224</v>
      </c>
      <c r="H47" s="185"/>
      <c r="I47" s="186"/>
      <c r="J47" s="192"/>
      <c r="K47" s="184">
        <f>SUM(M31:M44)/K46</f>
        <v>7.2688800398890043</v>
      </c>
      <c r="L47" s="185"/>
      <c r="M47" s="186"/>
      <c r="N47" s="192"/>
      <c r="O47" s="184">
        <f>SUM(Q31:Q44)/O46</f>
        <v>7.8969561571976294</v>
      </c>
      <c r="P47" s="185"/>
      <c r="Q47" s="186"/>
      <c r="R47" s="192"/>
      <c r="S47" s="184">
        <f>SUM(U31:U44)/S46</f>
        <v>11.778160028198803</v>
      </c>
      <c r="T47" s="185"/>
      <c r="U47" s="186"/>
      <c r="V47" s="192"/>
      <c r="W47" s="184">
        <f>SUM(Y31:Y44)/W46</f>
        <v>12.784177313957535</v>
      </c>
      <c r="X47" s="185"/>
      <c r="Y47" s="186"/>
    </row>
    <row r="48" spans="1:25" x14ac:dyDescent="0.25">
      <c r="D48" t="s">
        <v>61</v>
      </c>
      <c r="E48" t="s">
        <v>62</v>
      </c>
      <c r="H48" t="s">
        <v>61</v>
      </c>
      <c r="I48" t="s">
        <v>62</v>
      </c>
      <c r="L48" t="s">
        <v>61</v>
      </c>
      <c r="M48" t="s">
        <v>62</v>
      </c>
      <c r="P48" t="s">
        <v>61</v>
      </c>
      <c r="Q48" t="s">
        <v>62</v>
      </c>
      <c r="T48" t="s">
        <v>61</v>
      </c>
      <c r="U48" t="s">
        <v>62</v>
      </c>
      <c r="X48" t="s">
        <v>61</v>
      </c>
      <c r="Y48" t="s">
        <v>62</v>
      </c>
    </row>
    <row r="49" spans="1:29" x14ac:dyDescent="0.25">
      <c r="B49" s="5" t="s">
        <v>60</v>
      </c>
      <c r="C49" s="78">
        <v>22109</v>
      </c>
      <c r="D49" s="78">
        <v>0.33060699999999998</v>
      </c>
      <c r="E49" s="77">
        <v>2.4513E-2</v>
      </c>
      <c r="G49" s="78">
        <v>22747</v>
      </c>
      <c r="H49" s="78">
        <v>2.2502000000000001E-2</v>
      </c>
      <c r="I49" s="77">
        <f>-NM912</f>
        <v>0</v>
      </c>
      <c r="K49" s="78">
        <v>19452</v>
      </c>
      <c r="L49" s="78">
        <v>2.6789E-2</v>
      </c>
      <c r="M49" s="77">
        <f>-NQ912</f>
        <v>0</v>
      </c>
      <c r="O49" s="78">
        <v>25143</v>
      </c>
      <c r="P49" s="78">
        <v>0.305176</v>
      </c>
      <c r="Q49" s="77">
        <v>-2.6570000000000001E-3</v>
      </c>
      <c r="S49" s="78">
        <v>19452</v>
      </c>
      <c r="T49" s="78">
        <v>2.6789E-2</v>
      </c>
      <c r="U49" s="77">
        <f>-NY912</f>
        <v>0</v>
      </c>
      <c r="W49" s="78">
        <v>17117</v>
      </c>
      <c r="X49" s="78">
        <v>0.305176</v>
      </c>
      <c r="Y49" s="77">
        <v>1.0241E-2</v>
      </c>
    </row>
    <row r="50" spans="1:29" x14ac:dyDescent="0.25">
      <c r="D50" t="s">
        <v>64</v>
      </c>
      <c r="H50" t="s">
        <v>65</v>
      </c>
      <c r="L50" t="s">
        <v>66</v>
      </c>
      <c r="P50" t="s">
        <v>66</v>
      </c>
      <c r="T50" t="s">
        <v>66</v>
      </c>
    </row>
    <row r="57" spans="1:29" x14ac:dyDescent="0.25">
      <c r="A57" s="176" t="s">
        <v>59</v>
      </c>
      <c r="B57" s="176"/>
      <c r="C57" s="176" t="s">
        <v>97</v>
      </c>
      <c r="D57" s="176"/>
      <c r="E57" s="176"/>
      <c r="F57" s="190"/>
      <c r="G57" s="176" t="s">
        <v>98</v>
      </c>
      <c r="H57" s="176"/>
      <c r="I57" s="176"/>
      <c r="J57" s="190"/>
      <c r="K57" s="176" t="s">
        <v>99</v>
      </c>
      <c r="L57" s="176"/>
      <c r="M57" s="176"/>
      <c r="O57" s="176" t="s">
        <v>163</v>
      </c>
      <c r="P57" s="176"/>
      <c r="Q57" s="176"/>
      <c r="S57" s="176" t="s">
        <v>100</v>
      </c>
      <c r="T57" s="176"/>
      <c r="U57" s="176"/>
      <c r="W57" s="187" t="s">
        <v>76</v>
      </c>
      <c r="X57" s="189"/>
      <c r="Y57" s="188"/>
    </row>
    <row r="58" spans="1:29" x14ac:dyDescent="0.25">
      <c r="A58" s="176"/>
      <c r="B58" s="176"/>
      <c r="C58" s="176"/>
      <c r="D58" s="176"/>
      <c r="E58" s="176"/>
      <c r="F58" s="191"/>
      <c r="G58" s="176"/>
      <c r="H58" s="176"/>
      <c r="I58" s="176"/>
      <c r="J58" s="191"/>
      <c r="K58" s="176"/>
      <c r="L58" s="176"/>
      <c r="M58" s="176"/>
      <c r="O58" s="176"/>
      <c r="P58" s="176"/>
      <c r="Q58" s="176"/>
      <c r="S58" s="176"/>
      <c r="T58" s="176"/>
      <c r="U58" s="176"/>
      <c r="W58" s="187">
        <f>BLE!D6</f>
        <v>2</v>
      </c>
      <c r="X58" s="189"/>
      <c r="Y58" s="188"/>
    </row>
    <row r="59" spans="1:29" ht="45" x14ac:dyDescent="0.25">
      <c r="A59" s="5"/>
      <c r="B59" s="5" t="s">
        <v>19</v>
      </c>
      <c r="C59" s="77" t="s">
        <v>53</v>
      </c>
      <c r="D59" s="77" t="s">
        <v>54</v>
      </c>
      <c r="E59" s="77" t="s">
        <v>55</v>
      </c>
      <c r="F59" s="191"/>
      <c r="G59" s="77" t="s">
        <v>53</v>
      </c>
      <c r="H59" s="77" t="s">
        <v>54</v>
      </c>
      <c r="I59" s="77" t="s">
        <v>55</v>
      </c>
      <c r="J59" s="191"/>
      <c r="K59" s="77" t="s">
        <v>53</v>
      </c>
      <c r="L59" s="77" t="s">
        <v>54</v>
      </c>
      <c r="M59" s="77" t="s">
        <v>55</v>
      </c>
      <c r="O59" s="77" t="s">
        <v>53</v>
      </c>
      <c r="P59" s="77" t="s">
        <v>54</v>
      </c>
      <c r="Q59" s="77" t="s">
        <v>55</v>
      </c>
      <c r="S59" s="77" t="s">
        <v>53</v>
      </c>
      <c r="T59" s="77" t="s">
        <v>54</v>
      </c>
      <c r="U59" s="77" t="s">
        <v>55</v>
      </c>
      <c r="W59" s="77" t="s">
        <v>53</v>
      </c>
      <c r="X59" s="77" t="s">
        <v>54</v>
      </c>
      <c r="Y59" s="77" t="s">
        <v>55</v>
      </c>
    </row>
    <row r="60" spans="1:29" x14ac:dyDescent="0.25">
      <c r="A60" s="5">
        <v>1</v>
      </c>
      <c r="B60" s="5" t="s">
        <v>23</v>
      </c>
      <c r="C60" s="78">
        <v>291</v>
      </c>
      <c r="D60" s="78">
        <v>4.5066040000000003</v>
      </c>
      <c r="E60" s="77">
        <f>C60*D60</f>
        <v>1311.4217640000002</v>
      </c>
      <c r="F60" s="191"/>
      <c r="G60" s="78">
        <v>300</v>
      </c>
      <c r="H60" s="78">
        <v>4.3631659999999997</v>
      </c>
      <c r="I60" s="77">
        <f>G60*H60</f>
        <v>1308.9497999999999</v>
      </c>
      <c r="J60" s="191"/>
      <c r="K60" s="78">
        <v>288</v>
      </c>
      <c r="L60" s="78">
        <v>4.4522339999999998</v>
      </c>
      <c r="M60" s="77">
        <f>K60*L60</f>
        <v>1282.2433919999999</v>
      </c>
      <c r="O60" s="78">
        <v>287</v>
      </c>
      <c r="P60" s="78">
        <v>4.3068150000000003</v>
      </c>
      <c r="Q60" s="77">
        <f t="shared" ref="Q60:Q73" si="13">O60*P60</f>
        <v>1236.0559050000002</v>
      </c>
      <c r="S60" s="78">
        <v>295</v>
      </c>
      <c r="T60" s="78">
        <v>4.3790089999999999</v>
      </c>
      <c r="U60" s="77">
        <f t="shared" ref="U60:U73" si="14">S60*T60</f>
        <v>1291.8076550000001</v>
      </c>
      <c r="W60" s="85">
        <f>ROUNDUP(AVERAGE(G60,K60,C60,O60,S60),0)</f>
        <v>293</v>
      </c>
      <c r="X60" s="85">
        <f>((C60*D60)+(G60*H60)+(K60*L60))/(C60+G60+K60)</f>
        <v>4.439834989761092</v>
      </c>
      <c r="Y60" s="77">
        <f>W60*X60</f>
        <v>1300.871652</v>
      </c>
      <c r="AA60" t="s">
        <v>75</v>
      </c>
      <c r="AB60">
        <v>120</v>
      </c>
    </row>
    <row r="61" spans="1:29" x14ac:dyDescent="0.25">
      <c r="A61" s="5">
        <v>2</v>
      </c>
      <c r="B61" s="5" t="s">
        <v>24</v>
      </c>
      <c r="C61" s="78">
        <v>120</v>
      </c>
      <c r="D61" s="78">
        <v>5.1254689999999998</v>
      </c>
      <c r="E61" s="77">
        <f t="shared" ref="E61:E73" si="15">C61*D61</f>
        <v>615.05628000000002</v>
      </c>
      <c r="F61" s="191"/>
      <c r="G61" s="78">
        <v>106</v>
      </c>
      <c r="H61" s="78">
        <v>5.7438440000000002</v>
      </c>
      <c r="I61" s="77">
        <f t="shared" ref="I61:I73" si="16">G61*H61</f>
        <v>608.84746400000006</v>
      </c>
      <c r="J61" s="191"/>
      <c r="K61" s="78">
        <v>122</v>
      </c>
      <c r="L61" s="78">
        <v>4.9283770000000002</v>
      </c>
      <c r="M61" s="77">
        <f t="shared" ref="M61:M73" si="17">K61*L61</f>
        <v>601.26199400000007</v>
      </c>
      <c r="O61" s="78">
        <v>121</v>
      </c>
      <c r="P61" s="78">
        <v>4.7637939999999999</v>
      </c>
      <c r="Q61" s="77">
        <f t="shared" si="13"/>
        <v>576.41907400000002</v>
      </c>
      <c r="S61" s="78">
        <v>130</v>
      </c>
      <c r="T61" s="78">
        <v>8.4997100000000003</v>
      </c>
      <c r="U61" s="77">
        <f t="shared" si="14"/>
        <v>1104.9623000000001</v>
      </c>
      <c r="W61" s="85">
        <f>AVERAGE(C61,G61,K61)</f>
        <v>116</v>
      </c>
      <c r="X61" s="96">
        <f>VLOOKUP(W58,AA68:AJ78,2,FALSE)</f>
        <v>5.1100000000000003</v>
      </c>
      <c r="Y61" s="77">
        <f t="shared" ref="Y61:Y73" si="18">W61*X61</f>
        <v>592.76</v>
      </c>
      <c r="AA61" s="86" t="s">
        <v>85</v>
      </c>
      <c r="AB61">
        <f>Y78</f>
        <v>5.1920000000000004E-3</v>
      </c>
      <c r="AC61" t="s">
        <v>88</v>
      </c>
    </row>
    <row r="62" spans="1:29" s="97" customFormat="1" x14ac:dyDescent="0.25">
      <c r="A62" s="95">
        <v>3</v>
      </c>
      <c r="B62" s="95" t="s">
        <v>25</v>
      </c>
      <c r="C62" s="96">
        <v>367</v>
      </c>
      <c r="D62" s="96">
        <v>12.679078000000001</v>
      </c>
      <c r="E62" s="96">
        <f t="shared" si="15"/>
        <v>4653.2216260000005</v>
      </c>
      <c r="F62" s="191"/>
      <c r="G62" s="96">
        <v>181</v>
      </c>
      <c r="H62" s="96">
        <v>12.637301000000001</v>
      </c>
      <c r="I62" s="96">
        <f t="shared" si="16"/>
        <v>2287.3514810000001</v>
      </c>
      <c r="J62" s="191"/>
      <c r="K62" s="96">
        <v>144</v>
      </c>
      <c r="L62" s="96">
        <v>12.741936000000001</v>
      </c>
      <c r="M62" s="96">
        <f t="shared" si="17"/>
        <v>1834.838784</v>
      </c>
      <c r="O62" s="96">
        <v>364</v>
      </c>
      <c r="P62" s="96">
        <v>9.4127650000000003</v>
      </c>
      <c r="Q62" s="96">
        <f t="shared" si="13"/>
        <v>3426.2464600000003</v>
      </c>
      <c r="S62" s="96">
        <v>366</v>
      </c>
      <c r="T62" s="96">
        <v>30.989470000000001</v>
      </c>
      <c r="U62" s="96">
        <f t="shared" si="14"/>
        <v>11342.14602</v>
      </c>
      <c r="W62" s="96">
        <f>('CC23XX Power Computation Sheet'!B6*8)+AB60</f>
        <v>168</v>
      </c>
      <c r="X62" s="96">
        <f>VLOOKUP(W58,AA68:AJ78,3,FALSE)</f>
        <v>10.52</v>
      </c>
      <c r="Y62" s="96">
        <f t="shared" si="18"/>
        <v>1767.36</v>
      </c>
    </row>
    <row r="63" spans="1:29" x14ac:dyDescent="0.25">
      <c r="A63" s="5">
        <v>4</v>
      </c>
      <c r="B63" s="5" t="s">
        <v>26</v>
      </c>
      <c r="C63" s="78">
        <v>147</v>
      </c>
      <c r="D63" s="78">
        <v>4.6837470000000003</v>
      </c>
      <c r="E63" s="77">
        <f t="shared" si="15"/>
        <v>688.51080899999999</v>
      </c>
      <c r="F63" s="191"/>
      <c r="G63" s="78">
        <v>151</v>
      </c>
      <c r="H63" s="78">
        <v>5.0625270000000002</v>
      </c>
      <c r="I63" s="77">
        <f t="shared" si="16"/>
        <v>764.44157700000005</v>
      </c>
      <c r="J63" s="191"/>
      <c r="K63" s="78">
        <v>155</v>
      </c>
      <c r="L63" s="78">
        <v>5.002586</v>
      </c>
      <c r="M63" s="77">
        <f t="shared" si="17"/>
        <v>775.40083000000004</v>
      </c>
      <c r="O63" s="85">
        <v>149</v>
      </c>
      <c r="P63" s="85">
        <v>4.5623779999999998</v>
      </c>
      <c r="Q63" s="85">
        <f t="shared" si="13"/>
        <v>679.79432199999997</v>
      </c>
      <c r="S63" s="85">
        <v>149</v>
      </c>
      <c r="T63" s="85">
        <v>6.7918560000000001</v>
      </c>
      <c r="U63" s="85">
        <f t="shared" si="14"/>
        <v>1011.986544</v>
      </c>
      <c r="W63" s="85">
        <f>ROUNDUP(AVERAGE(G63,K63,C63,O63,S63),0)</f>
        <v>151</v>
      </c>
      <c r="X63" s="96">
        <f>VLOOKUP(W58,AA68:AJ78,4,FALSE)</f>
        <v>4.8</v>
      </c>
      <c r="Y63" s="85">
        <f t="shared" si="18"/>
        <v>724.8</v>
      </c>
    </row>
    <row r="64" spans="1:29" x14ac:dyDescent="0.25">
      <c r="A64" s="5">
        <v>5</v>
      </c>
      <c r="B64" s="5" t="s">
        <v>27</v>
      </c>
      <c r="C64" s="78">
        <v>150</v>
      </c>
      <c r="D64" s="78">
        <v>7.151122</v>
      </c>
      <c r="E64" s="77">
        <f t="shared" si="15"/>
        <v>1072.6683</v>
      </c>
      <c r="F64" s="191"/>
      <c r="G64" s="78">
        <v>151</v>
      </c>
      <c r="H64" s="78">
        <v>7.3119129999999997</v>
      </c>
      <c r="I64" s="77">
        <f t="shared" si="16"/>
        <v>1104.0988629999999</v>
      </c>
      <c r="J64" s="191"/>
      <c r="K64" s="78">
        <v>143</v>
      </c>
      <c r="L64" s="78">
        <v>7.2540630000000004</v>
      </c>
      <c r="M64" s="77">
        <f t="shared" si="17"/>
        <v>1037.331009</v>
      </c>
      <c r="O64" s="78">
        <v>146</v>
      </c>
      <c r="P64" s="78">
        <v>7.1809560000000001</v>
      </c>
      <c r="Q64" s="77">
        <f t="shared" si="13"/>
        <v>1048.419576</v>
      </c>
      <c r="S64" s="78">
        <v>146</v>
      </c>
      <c r="T64" s="78">
        <v>7.698817</v>
      </c>
      <c r="U64" s="77">
        <f t="shared" si="14"/>
        <v>1124.027282</v>
      </c>
      <c r="W64" s="85">
        <f t="shared" ref="W64:W67" si="19">ROUNDUP(AVERAGE(G64,K64,C64,O64,S64),0)</f>
        <v>148</v>
      </c>
      <c r="X64" s="85">
        <f>((C64*D64)+(G64*H64)+(K64*L64))/(C64+G64+K64)</f>
        <v>7.2389598468468472</v>
      </c>
      <c r="Y64" s="77">
        <f t="shared" si="18"/>
        <v>1071.3660573333334</v>
      </c>
    </row>
    <row r="65" spans="1:36" x14ac:dyDescent="0.25">
      <c r="A65" s="5">
        <v>6</v>
      </c>
      <c r="B65" s="5" t="s">
        <v>28</v>
      </c>
      <c r="C65" s="78">
        <v>115</v>
      </c>
      <c r="D65" s="78">
        <v>5.2123140000000001</v>
      </c>
      <c r="E65" s="77">
        <f t="shared" si="15"/>
        <v>599.41611</v>
      </c>
      <c r="F65" s="191"/>
      <c r="G65" s="78">
        <v>119</v>
      </c>
      <c r="H65" s="78">
        <v>5.5525039999999999</v>
      </c>
      <c r="I65" s="77">
        <f t="shared" si="16"/>
        <v>660.74797599999999</v>
      </c>
      <c r="J65" s="191"/>
      <c r="K65" s="78">
        <v>117</v>
      </c>
      <c r="L65" s="78">
        <v>5.3560559999999997</v>
      </c>
      <c r="M65" s="77">
        <f t="shared" si="17"/>
        <v>626.65855199999999</v>
      </c>
      <c r="O65" s="85">
        <v>124</v>
      </c>
      <c r="P65" s="85">
        <v>5.2998859999999999</v>
      </c>
      <c r="Q65" s="85">
        <f t="shared" si="13"/>
        <v>657.18586400000004</v>
      </c>
      <c r="S65" s="85">
        <v>126</v>
      </c>
      <c r="T65" s="85">
        <v>8.9704069999999998</v>
      </c>
      <c r="U65" s="85">
        <f t="shared" si="14"/>
        <v>1130.2712819999999</v>
      </c>
      <c r="W65" s="85">
        <f t="shared" si="19"/>
        <v>121</v>
      </c>
      <c r="X65" s="96">
        <f>VLOOKUP(W58,AA68:AJ78,5,FALSE)</f>
        <v>5.54</v>
      </c>
      <c r="Y65" s="85">
        <f t="shared" si="18"/>
        <v>670.34</v>
      </c>
    </row>
    <row r="66" spans="1:36" s="97" customFormat="1" x14ac:dyDescent="0.25">
      <c r="A66" s="95">
        <v>7</v>
      </c>
      <c r="B66" s="95" t="s">
        <v>25</v>
      </c>
      <c r="C66" s="96">
        <v>368</v>
      </c>
      <c r="D66" s="96">
        <v>12.660614000000001</v>
      </c>
      <c r="E66" s="96">
        <f t="shared" si="15"/>
        <v>4659.1059519999999</v>
      </c>
      <c r="F66" s="191"/>
      <c r="G66" s="96">
        <v>188</v>
      </c>
      <c r="H66" s="96">
        <v>12.611924</v>
      </c>
      <c r="I66" s="96">
        <f t="shared" si="16"/>
        <v>2371.0417120000002</v>
      </c>
      <c r="J66" s="191"/>
      <c r="K66" s="96">
        <v>143</v>
      </c>
      <c r="L66" s="96">
        <v>12.763012</v>
      </c>
      <c r="M66" s="96">
        <f t="shared" si="17"/>
        <v>1825.1107159999999</v>
      </c>
      <c r="O66" s="96">
        <v>364</v>
      </c>
      <c r="P66" s="96">
        <v>9.4321920000000006</v>
      </c>
      <c r="Q66" s="96">
        <f t="shared" si="13"/>
        <v>3433.317888</v>
      </c>
      <c r="S66" s="96">
        <v>366</v>
      </c>
      <c r="T66" s="96">
        <v>30.831937</v>
      </c>
      <c r="U66" s="96">
        <f t="shared" si="14"/>
        <v>11284.488942</v>
      </c>
      <c r="W66" s="85">
        <f>('CC23XX Power Computation Sheet'!B6*8)+AB60</f>
        <v>168</v>
      </c>
      <c r="X66" s="96">
        <f>VLOOKUP(W58,AA68:AJ78,6,FALSE)</f>
        <v>10.6</v>
      </c>
      <c r="Y66" s="96">
        <f t="shared" si="18"/>
        <v>1780.8</v>
      </c>
      <c r="AA66" s="103" t="s">
        <v>133</v>
      </c>
      <c r="AB66" s="193">
        <v>1</v>
      </c>
      <c r="AC66" s="193"/>
      <c r="AD66" s="193"/>
      <c r="AE66" s="193">
        <v>2</v>
      </c>
      <c r="AF66" s="193"/>
      <c r="AG66" s="193"/>
      <c r="AH66" s="193">
        <v>3</v>
      </c>
      <c r="AI66" s="193"/>
      <c r="AJ66" s="193"/>
    </row>
    <row r="67" spans="1:36" ht="39" x14ac:dyDescent="0.25">
      <c r="A67" s="5">
        <v>8</v>
      </c>
      <c r="B67" s="5" t="s">
        <v>26</v>
      </c>
      <c r="C67" s="78">
        <v>150</v>
      </c>
      <c r="D67" s="78">
        <v>4.9964060000000003</v>
      </c>
      <c r="E67" s="77">
        <f t="shared" si="15"/>
        <v>749.46090000000004</v>
      </c>
      <c r="F67" s="191"/>
      <c r="G67" s="78">
        <v>149</v>
      </c>
      <c r="H67" s="78">
        <v>4.8980709999999998</v>
      </c>
      <c r="I67" s="77">
        <f t="shared" si="16"/>
        <v>729.81257900000003</v>
      </c>
      <c r="J67" s="191"/>
      <c r="K67" s="78">
        <v>149</v>
      </c>
      <c r="L67" s="78">
        <v>5.0132500000000002</v>
      </c>
      <c r="M67" s="77">
        <f t="shared" si="17"/>
        <v>746.97424999999998</v>
      </c>
      <c r="O67" s="85">
        <v>149</v>
      </c>
      <c r="P67" s="85">
        <v>4.610697</v>
      </c>
      <c r="Q67" s="85">
        <f t="shared" si="13"/>
        <v>686.99385300000006</v>
      </c>
      <c r="S67" s="85">
        <v>149</v>
      </c>
      <c r="T67" s="85">
        <v>6.8130490000000004</v>
      </c>
      <c r="U67" s="85">
        <f t="shared" si="14"/>
        <v>1015.144301</v>
      </c>
      <c r="W67" s="85">
        <f t="shared" si="19"/>
        <v>150</v>
      </c>
      <c r="X67" s="96">
        <f>VLOOKUP(W58,AA68:AJ78,7,FALSE)</f>
        <v>4.72</v>
      </c>
      <c r="Y67" s="85">
        <f t="shared" si="18"/>
        <v>708</v>
      </c>
      <c r="AA67" s="101" t="s">
        <v>131</v>
      </c>
      <c r="AB67" s="5" t="s">
        <v>24</v>
      </c>
      <c r="AC67" s="90" t="s">
        <v>25</v>
      </c>
      <c r="AD67" s="84" t="s">
        <v>26</v>
      </c>
      <c r="AE67" s="84" t="s">
        <v>28</v>
      </c>
      <c r="AF67" s="90" t="s">
        <v>25</v>
      </c>
      <c r="AG67" s="84" t="s">
        <v>26</v>
      </c>
      <c r="AH67" s="84" t="s">
        <v>28</v>
      </c>
      <c r="AI67" s="90" t="s">
        <v>25</v>
      </c>
      <c r="AJ67" s="84" t="s">
        <v>26</v>
      </c>
    </row>
    <row r="68" spans="1:36" x14ac:dyDescent="0.25">
      <c r="A68" s="5">
        <v>9</v>
      </c>
      <c r="B68" s="5" t="s">
        <v>27</v>
      </c>
      <c r="C68" s="78">
        <v>145</v>
      </c>
      <c r="D68" s="78">
        <v>7.2106250000000003</v>
      </c>
      <c r="E68" s="77">
        <f t="shared" si="15"/>
        <v>1045.5406250000001</v>
      </c>
      <c r="F68" s="191"/>
      <c r="G68" s="78">
        <v>147</v>
      </c>
      <c r="H68" s="78">
        <v>7.2233409999999996</v>
      </c>
      <c r="I68" s="77">
        <f t="shared" si="16"/>
        <v>1061.8311269999999</v>
      </c>
      <c r="J68" s="191"/>
      <c r="K68" s="78">
        <v>146</v>
      </c>
      <c r="L68" s="78">
        <v>7.2014469999999999</v>
      </c>
      <c r="M68" s="77">
        <f t="shared" si="17"/>
        <v>1051.4112620000001</v>
      </c>
      <c r="O68" s="78">
        <v>144</v>
      </c>
      <c r="P68" s="78">
        <v>7.2391550000000002</v>
      </c>
      <c r="Q68" s="77">
        <f t="shared" si="13"/>
        <v>1042.43832</v>
      </c>
      <c r="S68" s="78">
        <v>146</v>
      </c>
      <c r="T68" s="78">
        <v>7.3564319999999999</v>
      </c>
      <c r="U68" s="77">
        <f t="shared" si="14"/>
        <v>1074.039072</v>
      </c>
      <c r="W68" s="85">
        <f>ROUNDUP(AVERAGE(G68,K68,C68,O68,S68),0)</f>
        <v>146</v>
      </c>
      <c r="X68" s="85">
        <f>((C68*D68)+(G68*H68)+(K68*L68))/(C68+G68+K68)</f>
        <v>7.2118333652968039</v>
      </c>
      <c r="Y68" s="77">
        <f t="shared" si="18"/>
        <v>1052.9276713333334</v>
      </c>
      <c r="AA68" s="32">
        <v>0</v>
      </c>
      <c r="AB68" s="32">
        <f>P61</f>
        <v>4.7637939999999999</v>
      </c>
      <c r="AC68" s="32">
        <f>P62</f>
        <v>9.4127650000000003</v>
      </c>
      <c r="AD68" s="32">
        <f>P63</f>
        <v>4.5623779999999998</v>
      </c>
      <c r="AE68" s="32">
        <f>P65</f>
        <v>5.2998859999999999</v>
      </c>
      <c r="AF68" s="32">
        <f>P66</f>
        <v>9.4321920000000006</v>
      </c>
      <c r="AG68" s="32">
        <f>P67</f>
        <v>4.610697</v>
      </c>
      <c r="AH68" s="32">
        <f>P69</f>
        <v>5.1890049999999999</v>
      </c>
      <c r="AI68" s="32">
        <f>P70</f>
        <v>9.1943160000000006</v>
      </c>
      <c r="AJ68" s="32">
        <f>P71</f>
        <v>4.7437880000000003</v>
      </c>
    </row>
    <row r="69" spans="1:36" x14ac:dyDescent="0.25">
      <c r="A69" s="5">
        <v>10</v>
      </c>
      <c r="B69" s="5" t="s">
        <v>28</v>
      </c>
      <c r="C69" s="78">
        <v>117</v>
      </c>
      <c r="D69" s="78">
        <v>5.4793890000000003</v>
      </c>
      <c r="E69" s="77">
        <f t="shared" si="15"/>
        <v>641.08851300000003</v>
      </c>
      <c r="F69" s="191"/>
      <c r="G69" s="78">
        <v>118</v>
      </c>
      <c r="H69" s="78">
        <v>5.4793890000000003</v>
      </c>
      <c r="I69" s="77">
        <f t="shared" si="16"/>
        <v>646.567902</v>
      </c>
      <c r="J69" s="191"/>
      <c r="K69" s="78">
        <v>118</v>
      </c>
      <c r="L69" s="78">
        <v>5.5164759999999999</v>
      </c>
      <c r="M69" s="77">
        <f t="shared" si="17"/>
        <v>650.94416799999999</v>
      </c>
      <c r="O69" s="85">
        <v>121</v>
      </c>
      <c r="P69" s="85">
        <v>5.1890049999999999</v>
      </c>
      <c r="Q69" s="85">
        <f t="shared" si="13"/>
        <v>627.86960499999998</v>
      </c>
      <c r="S69" s="85">
        <v>126</v>
      </c>
      <c r="T69" s="85">
        <v>7.8857419999999996</v>
      </c>
      <c r="U69" s="85">
        <f t="shared" si="14"/>
        <v>993.60349199999996</v>
      </c>
      <c r="W69" s="85">
        <f>ROUNDUP(AVERAGE(G69,K69,C69,O69,S69),0)</f>
        <v>120</v>
      </c>
      <c r="X69" s="96">
        <f>VLOOKUP(W58,AA68:AJ78,8,FALSE)</f>
        <v>5.44</v>
      </c>
      <c r="Y69" s="85">
        <f t="shared" si="18"/>
        <v>652.80000000000007</v>
      </c>
      <c r="AA69" s="32">
        <v>1</v>
      </c>
      <c r="AB69" s="32">
        <f>D140</f>
        <v>5.0720210000000003</v>
      </c>
      <c r="AC69" s="32">
        <f>D141</f>
        <v>9.9924160000000004</v>
      </c>
      <c r="AD69" s="32">
        <f>D142</f>
        <v>4.6624080000000001</v>
      </c>
      <c r="AE69" s="32">
        <f>D144</f>
        <v>5.5225080000000002</v>
      </c>
      <c r="AF69" s="32">
        <f>D145</f>
        <v>10.069741</v>
      </c>
      <c r="AG69" s="32">
        <f>D146</f>
        <v>4.7183570000000001</v>
      </c>
      <c r="AH69" s="32">
        <f>D148</f>
        <v>5.2978509999999996</v>
      </c>
      <c r="AI69" s="32">
        <f>D149</f>
        <v>9.9587649999999996</v>
      </c>
      <c r="AJ69" s="32">
        <f>D150</f>
        <v>4.6268039999999999</v>
      </c>
    </row>
    <row r="70" spans="1:36" s="97" customFormat="1" x14ac:dyDescent="0.25">
      <c r="A70" s="95">
        <v>11</v>
      </c>
      <c r="B70" s="95" t="s">
        <v>25</v>
      </c>
      <c r="C70" s="96">
        <v>370</v>
      </c>
      <c r="D70" s="96">
        <v>12.263816</v>
      </c>
      <c r="E70" s="96">
        <f t="shared" si="15"/>
        <v>4537.6119200000003</v>
      </c>
      <c r="F70" s="191"/>
      <c r="G70" s="96">
        <v>188</v>
      </c>
      <c r="H70" s="96">
        <v>12.309443</v>
      </c>
      <c r="I70" s="96">
        <f t="shared" si="16"/>
        <v>2314.1752839999999</v>
      </c>
      <c r="J70" s="191"/>
      <c r="K70" s="96">
        <v>144</v>
      </c>
      <c r="L70" s="96">
        <v>12.429774</v>
      </c>
      <c r="M70" s="96">
        <f t="shared" si="17"/>
        <v>1789.8874559999999</v>
      </c>
      <c r="O70" s="96">
        <v>362</v>
      </c>
      <c r="P70" s="96">
        <v>9.1943160000000006</v>
      </c>
      <c r="Q70" s="96">
        <f t="shared" si="13"/>
        <v>3328.342392</v>
      </c>
      <c r="S70" s="96">
        <v>366</v>
      </c>
      <c r="T70" s="96">
        <v>29.832325000000001</v>
      </c>
      <c r="U70" s="96">
        <f t="shared" si="14"/>
        <v>10918.630950000001</v>
      </c>
      <c r="W70" s="85">
        <f>('CC23XX Power Computation Sheet'!B6*8)+AB60</f>
        <v>168</v>
      </c>
      <c r="X70" s="96">
        <f>VLOOKUP(W58,AA68:AJ78,9,FALSE)</f>
        <v>10.5</v>
      </c>
      <c r="Y70" s="96">
        <f t="shared" si="18"/>
        <v>1764</v>
      </c>
      <c r="AA70" s="32">
        <v>2</v>
      </c>
      <c r="AB70" s="102">
        <f>H32</f>
        <v>5.1100000000000003</v>
      </c>
      <c r="AC70" s="102">
        <f>H33</f>
        <v>10.52</v>
      </c>
      <c r="AD70" s="102">
        <f>H34</f>
        <v>4.8</v>
      </c>
      <c r="AE70" s="102">
        <f>H36</f>
        <v>5.54</v>
      </c>
      <c r="AF70" s="102">
        <f>H37</f>
        <v>10.6</v>
      </c>
      <c r="AG70" s="102">
        <f>H38</f>
        <v>4.72</v>
      </c>
      <c r="AH70" s="102">
        <f>H40</f>
        <v>5.44</v>
      </c>
      <c r="AI70" s="102">
        <f>H41</f>
        <v>10.5</v>
      </c>
      <c r="AJ70" s="102">
        <f>H42</f>
        <v>4.68</v>
      </c>
    </row>
    <row r="71" spans="1:36" x14ac:dyDescent="0.25">
      <c r="A71" s="5">
        <v>12</v>
      </c>
      <c r="B71" s="5" t="s">
        <v>26</v>
      </c>
      <c r="C71" s="78">
        <v>149</v>
      </c>
      <c r="D71" s="78">
        <v>4.7641330000000002</v>
      </c>
      <c r="E71" s="77">
        <f t="shared" si="15"/>
        <v>709.855817</v>
      </c>
      <c r="F71" s="191"/>
      <c r="G71" s="78">
        <v>149</v>
      </c>
      <c r="H71" s="78">
        <v>5.1289220000000002</v>
      </c>
      <c r="I71" s="77">
        <f t="shared" si="16"/>
        <v>764.20937800000002</v>
      </c>
      <c r="J71" s="191"/>
      <c r="K71" s="78">
        <v>146</v>
      </c>
      <c r="L71" s="78">
        <v>4.8938329999999999</v>
      </c>
      <c r="M71" s="77">
        <f t="shared" si="17"/>
        <v>714.49961799999994</v>
      </c>
      <c r="O71" s="85">
        <v>149</v>
      </c>
      <c r="P71" s="85">
        <v>4.7437880000000003</v>
      </c>
      <c r="Q71" s="85">
        <f t="shared" si="13"/>
        <v>706.82441200000005</v>
      </c>
      <c r="S71" s="85">
        <v>149</v>
      </c>
      <c r="T71" s="85">
        <v>7.2360569999999997</v>
      </c>
      <c r="U71" s="85">
        <f t="shared" si="14"/>
        <v>1078.172493</v>
      </c>
      <c r="W71" s="85">
        <f t="shared" ref="W71" si="20">ROUNDUP(AVERAGE(G71,K71,C71,O71,S71),0)</f>
        <v>149</v>
      </c>
      <c r="X71" s="96">
        <f>VLOOKUP(W58,AA68:AJ78,10,FALSE)</f>
        <v>4.68</v>
      </c>
      <c r="Y71" s="85">
        <f t="shared" si="18"/>
        <v>697.31999999999994</v>
      </c>
      <c r="AA71" s="32">
        <v>3</v>
      </c>
      <c r="AB71" s="32">
        <f>H140</f>
        <v>5.215376</v>
      </c>
      <c r="AC71" s="32">
        <f>H141</f>
        <v>10.891667</v>
      </c>
      <c r="AD71" s="32">
        <f>H142</f>
        <v>4.8717920000000001</v>
      </c>
      <c r="AE71" s="32">
        <f>H144</f>
        <v>5.804208</v>
      </c>
      <c r="AF71" s="122">
        <f>H145</f>
        <v>11.00081</v>
      </c>
      <c r="AG71" s="32">
        <f>H146</f>
        <v>4.817539</v>
      </c>
      <c r="AH71" s="32">
        <f>H148</f>
        <v>5.6052619999999997</v>
      </c>
      <c r="AI71" s="122">
        <f>H149</f>
        <v>10.754973</v>
      </c>
      <c r="AJ71" s="32">
        <f>H150</f>
        <v>4.8785740000000004</v>
      </c>
    </row>
    <row r="72" spans="1:36" x14ac:dyDescent="0.25">
      <c r="A72" s="5">
        <v>13</v>
      </c>
      <c r="B72" s="5" t="s">
        <v>27</v>
      </c>
      <c r="C72" s="78">
        <v>115</v>
      </c>
      <c r="D72" s="78">
        <v>7.6459799999999998</v>
      </c>
      <c r="E72" s="77">
        <f t="shared" si="15"/>
        <v>879.28769999999997</v>
      </c>
      <c r="F72" s="191"/>
      <c r="G72" s="78">
        <v>162</v>
      </c>
      <c r="H72" s="78">
        <v>7.6230370000000001</v>
      </c>
      <c r="I72" s="77">
        <f t="shared" si="16"/>
        <v>1234.931994</v>
      </c>
      <c r="J72" s="191"/>
      <c r="K72" s="78">
        <v>149</v>
      </c>
      <c r="L72" s="78">
        <v>7.2250360000000002</v>
      </c>
      <c r="M72" s="77">
        <f t="shared" si="17"/>
        <v>1076.530364</v>
      </c>
      <c r="O72" s="78">
        <v>156</v>
      </c>
      <c r="P72" s="78">
        <v>7.2630239999999997</v>
      </c>
      <c r="Q72" s="77">
        <f t="shared" si="13"/>
        <v>1133.0317439999999</v>
      </c>
      <c r="S72" s="78">
        <v>165</v>
      </c>
      <c r="T72" s="78">
        <v>7.3226769999999997</v>
      </c>
      <c r="U72" s="77">
        <f t="shared" si="14"/>
        <v>1208.2417049999999</v>
      </c>
      <c r="W72" s="85">
        <f>ROUNDUP(AVERAGE(G72,K72,C72,O72,S72),0)</f>
        <v>150</v>
      </c>
      <c r="X72" s="85">
        <f>((C72*D72)+(G72*H72)+(K72*L72))/(C72+G72+K72)</f>
        <v>7.4900236103286373</v>
      </c>
      <c r="Y72" s="77">
        <f t="shared" si="18"/>
        <v>1123.5035415492955</v>
      </c>
      <c r="AA72" s="32">
        <v>4</v>
      </c>
      <c r="AB72" s="102">
        <f>P32</f>
        <v>5.3456619999999999</v>
      </c>
      <c r="AC72" s="102">
        <f>P33</f>
        <v>11.723488</v>
      </c>
      <c r="AD72" s="102">
        <f>P34</f>
        <v>5.0148910000000004</v>
      </c>
      <c r="AE72" s="93">
        <f>P36</f>
        <v>5.938212</v>
      </c>
      <c r="AF72" s="102">
        <f>P37</f>
        <v>11.692482</v>
      </c>
      <c r="AG72" s="102">
        <f>P38</f>
        <v>4.9139860000000004</v>
      </c>
      <c r="AH72" s="102">
        <f>P40</f>
        <v>5.6508380000000002</v>
      </c>
      <c r="AI72" s="102">
        <f>P41</f>
        <v>11.398106</v>
      </c>
      <c r="AJ72" s="102">
        <f>P42</f>
        <v>5.0920050000000003</v>
      </c>
    </row>
    <row r="73" spans="1:36" x14ac:dyDescent="0.25">
      <c r="A73" s="5">
        <v>14</v>
      </c>
      <c r="B73" s="5" t="s">
        <v>29</v>
      </c>
      <c r="C73" s="78">
        <v>233</v>
      </c>
      <c r="D73" s="78">
        <v>5.0911330000000001</v>
      </c>
      <c r="E73" s="77">
        <f t="shared" si="15"/>
        <v>1186.2339890000001</v>
      </c>
      <c r="F73" s="191"/>
      <c r="G73" s="78">
        <v>272</v>
      </c>
      <c r="H73" s="78">
        <v>5.7324070000000003</v>
      </c>
      <c r="I73" s="77">
        <f t="shared" si="16"/>
        <v>1559.214704</v>
      </c>
      <c r="J73" s="191"/>
      <c r="K73" s="78">
        <v>220</v>
      </c>
      <c r="L73" s="78">
        <v>4.4308290000000001</v>
      </c>
      <c r="M73" s="77">
        <f t="shared" si="17"/>
        <v>974.78237999999999</v>
      </c>
      <c r="O73" s="78">
        <v>230</v>
      </c>
      <c r="P73" s="78">
        <v>4.1757109999999997</v>
      </c>
      <c r="Q73" s="77">
        <f t="shared" si="13"/>
        <v>960.41352999999992</v>
      </c>
      <c r="S73" s="78">
        <v>204</v>
      </c>
      <c r="T73" s="78">
        <v>4.4994820000000004</v>
      </c>
      <c r="U73" s="77">
        <f t="shared" si="14"/>
        <v>917.89432800000009</v>
      </c>
      <c r="W73" s="85">
        <f t="shared" ref="W73" si="21">ROUNDUP(AVERAGE(G73,K73,C73,O73,S73),0)</f>
        <v>232</v>
      </c>
      <c r="X73" s="85">
        <f>((C73*D73)+(G73*H73)+(K73*L73))/(C73+G73+K73)</f>
        <v>5.1313532041379313</v>
      </c>
      <c r="Y73" s="77">
        <f t="shared" si="18"/>
        <v>1190.47394336</v>
      </c>
      <c r="AA73" s="32">
        <v>5</v>
      </c>
      <c r="AB73" s="76">
        <f>H61</f>
        <v>5.7438440000000002</v>
      </c>
      <c r="AC73" s="32">
        <f>H62</f>
        <v>12.637301000000001</v>
      </c>
      <c r="AD73" s="76">
        <f>H63</f>
        <v>5.0625270000000002</v>
      </c>
      <c r="AE73" s="76">
        <f>H65</f>
        <v>5.5525039999999999</v>
      </c>
      <c r="AF73" s="32">
        <f>H66</f>
        <v>12.611924</v>
      </c>
      <c r="AG73" s="76">
        <f>H63</f>
        <v>5.0625270000000002</v>
      </c>
      <c r="AH73" s="76">
        <f>H69</f>
        <v>5.4793890000000003</v>
      </c>
      <c r="AI73" s="32">
        <f>H70</f>
        <v>12.309443</v>
      </c>
      <c r="AJ73" s="32">
        <f>H71</f>
        <v>5.1289220000000002</v>
      </c>
    </row>
    <row r="74" spans="1:36" x14ac:dyDescent="0.25">
      <c r="A74" s="5">
        <v>15</v>
      </c>
      <c r="B74" s="5" t="s">
        <v>60</v>
      </c>
      <c r="C74" s="78"/>
      <c r="D74" s="78"/>
      <c r="E74" s="77"/>
      <c r="F74" s="191"/>
      <c r="G74" s="78"/>
      <c r="H74" s="78"/>
      <c r="I74" s="77"/>
      <c r="J74" s="191"/>
      <c r="K74" s="78"/>
      <c r="L74" s="78"/>
      <c r="M74" s="77"/>
      <c r="O74" s="78"/>
      <c r="P74" s="78"/>
      <c r="Q74" s="77"/>
      <c r="S74" s="78"/>
      <c r="T74" s="78"/>
      <c r="U74" s="77"/>
      <c r="W74" s="78"/>
      <c r="X74" s="78"/>
      <c r="Y74" s="77"/>
      <c r="AA74" s="32">
        <v>6</v>
      </c>
      <c r="AB74" s="32">
        <f>L140</f>
        <v>6.4310710000000002</v>
      </c>
      <c r="AC74">
        <f>L141</f>
        <v>20.68402</v>
      </c>
      <c r="AD74" s="32">
        <f>L142</f>
        <v>6.0001490000000004</v>
      </c>
      <c r="AE74" s="32">
        <f>L144</f>
        <v>7.2875969999999999</v>
      </c>
      <c r="AF74" s="122">
        <f>L145</f>
        <v>20.536657000000002</v>
      </c>
      <c r="AG74" s="32">
        <f>L146</f>
        <v>5.6194730000000002</v>
      </c>
      <c r="AH74" s="32">
        <f>L148</f>
        <v>6.9000240000000002</v>
      </c>
      <c r="AI74">
        <f>L149</f>
        <v>20.180271000000001</v>
      </c>
      <c r="AJ74" s="32">
        <f>L150</f>
        <v>5.8525929999999997</v>
      </c>
    </row>
    <row r="75" spans="1:36" x14ac:dyDescent="0.25">
      <c r="A75" s="79"/>
      <c r="B75" s="5" t="s">
        <v>56</v>
      </c>
      <c r="C75" s="173">
        <f>SUM(C60:C73)</f>
        <v>2837</v>
      </c>
      <c r="D75" s="174"/>
      <c r="E75" s="175"/>
      <c r="F75" s="191"/>
      <c r="G75" s="184">
        <f>SUM(G60:G73)</f>
        <v>2381</v>
      </c>
      <c r="H75" s="185"/>
      <c r="I75" s="186"/>
      <c r="J75" s="191"/>
      <c r="K75" s="184">
        <f>SUM(K60:K73)</f>
        <v>2184</v>
      </c>
      <c r="L75" s="185"/>
      <c r="M75" s="186"/>
      <c r="O75" s="173">
        <f>SUM(O60:O73)</f>
        <v>2866</v>
      </c>
      <c r="P75" s="174"/>
      <c r="Q75" s="175"/>
      <c r="S75" s="173">
        <f>SUM(S60:S73)</f>
        <v>2883</v>
      </c>
      <c r="T75" s="174"/>
      <c r="U75" s="175"/>
      <c r="W75" s="184">
        <f>SUM(W60:W73)</f>
        <v>2280</v>
      </c>
      <c r="X75" s="185"/>
      <c r="Y75" s="186"/>
      <c r="AA75" s="32">
        <v>7</v>
      </c>
      <c r="AB75" s="76">
        <f>P140</f>
        <v>6.786092</v>
      </c>
      <c r="AC75" s="32">
        <f>P141</f>
        <v>21.701035000000001</v>
      </c>
      <c r="AD75" s="32">
        <f>P142</f>
        <v>6.2603419999999996</v>
      </c>
      <c r="AE75" s="76">
        <f>P144</f>
        <v>7.6436359999999999</v>
      </c>
      <c r="AF75" s="32">
        <f>P145</f>
        <v>21.3948</v>
      </c>
      <c r="AG75" s="76">
        <f>P146</f>
        <v>5.9919460000000004</v>
      </c>
      <c r="AH75" s="76">
        <f>P148</f>
        <v>6.9712319999999997</v>
      </c>
      <c r="AI75" s="32">
        <f>P149</f>
        <v>20.996162999999999</v>
      </c>
      <c r="AJ75" s="32">
        <f>P150</f>
        <v>5.8713519999999999</v>
      </c>
    </row>
    <row r="76" spans="1:36" x14ac:dyDescent="0.25">
      <c r="A76" s="79"/>
      <c r="B76" s="5" t="s">
        <v>57</v>
      </c>
      <c r="C76" s="173">
        <f>SUM(E60:E73)/C75</f>
        <v>8.2299895329573491</v>
      </c>
      <c r="D76" s="174"/>
      <c r="E76" s="175"/>
      <c r="F76" s="192"/>
      <c r="G76" s="184">
        <f>SUM(I60:I73)/G75</f>
        <v>7.3146668798824015</v>
      </c>
      <c r="H76" s="185"/>
      <c r="I76" s="186"/>
      <c r="J76" s="192"/>
      <c r="K76" s="184">
        <f>SUM(M60:M73)/K75</f>
        <v>6.8625800251831501</v>
      </c>
      <c r="L76" s="185"/>
      <c r="M76" s="186"/>
      <c r="O76" s="173">
        <f>SUM(Q60:Q73)/O75</f>
        <v>6.8190345237264491</v>
      </c>
      <c r="P76" s="174"/>
      <c r="Q76" s="175"/>
      <c r="S76" s="173">
        <f>SUM(U60:U73)/S75</f>
        <v>15.780581465834199</v>
      </c>
      <c r="T76" s="174"/>
      <c r="U76" s="175"/>
      <c r="W76" s="184">
        <f>SUM(Y60:Y73)/W75</f>
        <v>6.6216328357789305</v>
      </c>
      <c r="X76" s="185"/>
      <c r="Y76" s="186"/>
      <c r="AA76" s="32">
        <v>8</v>
      </c>
      <c r="AB76" s="102">
        <f>X32</f>
        <v>7.366943</v>
      </c>
      <c r="AC76" s="102">
        <f>X33</f>
        <v>23.537741</v>
      </c>
      <c r="AD76" s="102">
        <f>X34</f>
        <v>6.3479840000000003</v>
      </c>
      <c r="AE76" s="102">
        <f>X36</f>
        <v>8.2857179999999993</v>
      </c>
      <c r="AF76" s="102">
        <f>X37</f>
        <v>23.326167000000002</v>
      </c>
      <c r="AG76" s="102">
        <f>X38</f>
        <v>6.4160740000000001</v>
      </c>
      <c r="AH76" s="102">
        <f>X40</f>
        <v>7.5449619999999999</v>
      </c>
      <c r="AI76" s="102">
        <f>X41</f>
        <v>22.766677999999999</v>
      </c>
      <c r="AJ76" s="102">
        <f>X42</f>
        <v>6.3627510000000003</v>
      </c>
    </row>
    <row r="77" spans="1:36" x14ac:dyDescent="0.25">
      <c r="D77" t="s">
        <v>61</v>
      </c>
      <c r="E77" t="s">
        <v>62</v>
      </c>
      <c r="H77" t="s">
        <v>61</v>
      </c>
      <c r="I77" t="s">
        <v>62</v>
      </c>
      <c r="L77" t="s">
        <v>61</v>
      </c>
      <c r="M77" t="s">
        <v>62</v>
      </c>
      <c r="P77" t="s">
        <v>61</v>
      </c>
      <c r="Q77" t="s">
        <v>62</v>
      </c>
      <c r="T77" t="s">
        <v>61</v>
      </c>
      <c r="U77" t="s">
        <v>62</v>
      </c>
      <c r="X77" t="s">
        <v>61</v>
      </c>
      <c r="Y77" t="s">
        <v>62</v>
      </c>
      <c r="AA77" s="32">
        <v>9</v>
      </c>
      <c r="AB77" s="32">
        <f>T140</f>
        <v>7.5296250000000002</v>
      </c>
      <c r="AC77" s="32">
        <f>T141</f>
        <v>26.430906</v>
      </c>
      <c r="AD77" s="32">
        <f>T142</f>
        <v>6.3504449999999997</v>
      </c>
      <c r="AE77" s="32">
        <f>T144</f>
        <v>8.7728249999999992</v>
      </c>
      <c r="AF77" s="32">
        <f>T145</f>
        <v>26.054382</v>
      </c>
      <c r="AG77" s="32">
        <f>T146</f>
        <v>6.5027869999999997</v>
      </c>
      <c r="AH77" s="32">
        <f>T148</f>
        <v>7.8612109999999999</v>
      </c>
      <c r="AI77" s="32">
        <f>T149</f>
        <v>25.092230000000001</v>
      </c>
      <c r="AJ77" s="32">
        <f>T150</f>
        <v>6.6833489999999998</v>
      </c>
    </row>
    <row r="78" spans="1:36" x14ac:dyDescent="0.25">
      <c r="B78" s="5" t="s">
        <v>60</v>
      </c>
      <c r="C78" s="78">
        <v>102112</v>
      </c>
      <c r="D78" s="78">
        <v>2.3574000000000001E-2</v>
      </c>
      <c r="E78" s="77">
        <f>-NI941</f>
        <v>0</v>
      </c>
      <c r="G78" s="78">
        <v>106605</v>
      </c>
      <c r="H78" s="78"/>
      <c r="I78" s="77">
        <v>1.6930000000000001E-2</v>
      </c>
      <c r="K78" s="78">
        <v>105823</v>
      </c>
      <c r="L78" s="78">
        <v>0.305176</v>
      </c>
      <c r="M78" s="77">
        <f>-NQ941</f>
        <v>0</v>
      </c>
      <c r="O78" s="78">
        <v>21122</v>
      </c>
      <c r="P78" s="78">
        <v>0.27974399999999999</v>
      </c>
      <c r="Q78" s="77">
        <v>-6.5459999999999997E-3</v>
      </c>
      <c r="S78" s="78">
        <v>20130</v>
      </c>
      <c r="T78" s="78">
        <v>0.27974399999999999</v>
      </c>
      <c r="U78" s="77">
        <v>4.352E-3</v>
      </c>
      <c r="W78" s="78">
        <v>97421</v>
      </c>
      <c r="X78" s="78">
        <f>AVERAGE(D78,H78,L78)</f>
        <v>0.16437499999999999</v>
      </c>
      <c r="Y78" s="77">
        <f>AVERAGE(I78,Q78)</f>
        <v>5.1920000000000004E-3</v>
      </c>
      <c r="AA78" s="32">
        <v>10</v>
      </c>
      <c r="AB78" s="32">
        <f>T61</f>
        <v>8.4997100000000003</v>
      </c>
      <c r="AC78" s="32">
        <f>T62</f>
        <v>30.989470000000001</v>
      </c>
      <c r="AD78" s="32">
        <f>T63</f>
        <v>6.7918560000000001</v>
      </c>
      <c r="AE78" s="32">
        <f>T65</f>
        <v>8.9704069999999998</v>
      </c>
      <c r="AF78" s="32">
        <f>T66</f>
        <v>30.831937</v>
      </c>
      <c r="AG78" s="32">
        <f>T67</f>
        <v>6.8130490000000004</v>
      </c>
      <c r="AH78" s="32">
        <f>T69</f>
        <v>7.8857419999999996</v>
      </c>
      <c r="AI78" s="32">
        <f>T70</f>
        <v>29.832325000000001</v>
      </c>
      <c r="AJ78" s="32">
        <f>T71</f>
        <v>7.2360569999999997</v>
      </c>
    </row>
    <row r="79" spans="1:36" x14ac:dyDescent="0.25">
      <c r="D79" t="s">
        <v>67</v>
      </c>
      <c r="L79">
        <v>-5.2329999999999997</v>
      </c>
      <c r="T79" t="s">
        <v>101</v>
      </c>
      <c r="X79" t="s">
        <v>63</v>
      </c>
    </row>
    <row r="85" spans="1:21" x14ac:dyDescent="0.25">
      <c r="A85" s="176" t="s">
        <v>59</v>
      </c>
      <c r="B85" s="176"/>
      <c r="C85" s="176" t="s">
        <v>142</v>
      </c>
      <c r="D85" s="176"/>
      <c r="E85" s="176"/>
      <c r="F85" s="190"/>
      <c r="G85" s="176" t="s">
        <v>143</v>
      </c>
      <c r="H85" s="176"/>
      <c r="I85" s="176"/>
      <c r="J85" s="190"/>
      <c r="K85" s="176" t="s">
        <v>144</v>
      </c>
      <c r="L85" s="176"/>
      <c r="M85" s="176"/>
      <c r="N85" s="190"/>
      <c r="O85" s="176" t="s">
        <v>145</v>
      </c>
      <c r="P85" s="176"/>
      <c r="Q85" s="176"/>
      <c r="R85" s="190"/>
      <c r="S85" s="176" t="s">
        <v>146</v>
      </c>
      <c r="T85" s="176"/>
      <c r="U85" s="176"/>
    </row>
    <row r="86" spans="1:21" x14ac:dyDescent="0.25">
      <c r="A86" s="176"/>
      <c r="B86" s="176"/>
      <c r="C86" s="176"/>
      <c r="D86" s="176"/>
      <c r="E86" s="176"/>
      <c r="F86" s="191"/>
      <c r="G86" s="176"/>
      <c r="H86" s="176"/>
      <c r="I86" s="176"/>
      <c r="J86" s="191"/>
      <c r="K86" s="176"/>
      <c r="L86" s="176"/>
      <c r="M86" s="176"/>
      <c r="N86" s="191"/>
      <c r="O86" s="176"/>
      <c r="P86" s="176"/>
      <c r="Q86" s="176"/>
      <c r="R86" s="191"/>
      <c r="S86" s="176"/>
      <c r="T86" s="176"/>
      <c r="U86" s="176"/>
    </row>
    <row r="87" spans="1:21" ht="45" x14ac:dyDescent="0.25">
      <c r="A87" s="5"/>
      <c r="B87" s="5" t="s">
        <v>19</v>
      </c>
      <c r="C87" s="77" t="s">
        <v>53</v>
      </c>
      <c r="D87" s="77" t="s">
        <v>54</v>
      </c>
      <c r="E87" s="77" t="s">
        <v>55</v>
      </c>
      <c r="F87" s="191"/>
      <c r="G87" s="77" t="s">
        <v>53</v>
      </c>
      <c r="H87" s="77" t="s">
        <v>54</v>
      </c>
      <c r="I87" s="77" t="s">
        <v>55</v>
      </c>
      <c r="J87" s="191"/>
      <c r="K87" s="77" t="s">
        <v>53</v>
      </c>
      <c r="L87" s="77" t="s">
        <v>54</v>
      </c>
      <c r="M87" s="77" t="s">
        <v>55</v>
      </c>
      <c r="N87" s="191"/>
      <c r="O87" s="77" t="s">
        <v>53</v>
      </c>
      <c r="P87" s="77" t="s">
        <v>54</v>
      </c>
      <c r="Q87" s="77" t="s">
        <v>55</v>
      </c>
      <c r="R87" s="191"/>
      <c r="S87" s="77" t="s">
        <v>53</v>
      </c>
      <c r="T87" s="77" t="s">
        <v>54</v>
      </c>
      <c r="U87" s="77" t="s">
        <v>55</v>
      </c>
    </row>
    <row r="88" spans="1:21" x14ac:dyDescent="0.25">
      <c r="A88" s="5">
        <v>1</v>
      </c>
      <c r="B88" s="5" t="s">
        <v>23</v>
      </c>
      <c r="C88" s="78">
        <v>296</v>
      </c>
      <c r="D88" s="78">
        <v>4.2836679999999996</v>
      </c>
      <c r="E88" s="77">
        <f>C88*D88</f>
        <v>1267.9657279999999</v>
      </c>
      <c r="F88" s="191"/>
      <c r="G88" s="78">
        <v>297</v>
      </c>
      <c r="H88" s="116">
        <v>4.0332340000000002</v>
      </c>
      <c r="I88" s="77">
        <f>G88*H88</f>
        <v>1197.870498</v>
      </c>
      <c r="J88" s="191"/>
      <c r="K88" s="78">
        <v>296</v>
      </c>
      <c r="L88" s="78">
        <v>4.0026299999999999</v>
      </c>
      <c r="M88" s="77">
        <f>K88*L88</f>
        <v>1184.7784799999999</v>
      </c>
      <c r="N88" s="191"/>
      <c r="O88" s="78">
        <v>292</v>
      </c>
      <c r="P88" s="78">
        <v>4.3128000000000002</v>
      </c>
      <c r="Q88" s="77">
        <f>O88*P88</f>
        <v>1259.3376000000001</v>
      </c>
      <c r="R88" s="191"/>
      <c r="S88" s="78">
        <v>290</v>
      </c>
      <c r="T88" s="78">
        <v>4.0779339999999999</v>
      </c>
      <c r="U88" s="77">
        <f>S88*T88</f>
        <v>1182.60086</v>
      </c>
    </row>
    <row r="89" spans="1:21" x14ac:dyDescent="0.25">
      <c r="A89" s="5">
        <v>2</v>
      </c>
      <c r="B89" s="5" t="s">
        <v>24</v>
      </c>
      <c r="C89" s="78">
        <v>125</v>
      </c>
      <c r="D89" s="78">
        <v>4.4006350000000003</v>
      </c>
      <c r="E89" s="77">
        <f t="shared" ref="E89:E101" si="22">C89*D89</f>
        <v>550.07937500000003</v>
      </c>
      <c r="F89" s="191"/>
      <c r="G89" s="78">
        <v>125</v>
      </c>
      <c r="H89" s="78">
        <v>4.7771749999999997</v>
      </c>
      <c r="I89" s="77">
        <f t="shared" ref="I89:I101" si="23">G89*H89</f>
        <v>597.14687499999991</v>
      </c>
      <c r="J89" s="191"/>
      <c r="K89" s="78">
        <v>127</v>
      </c>
      <c r="L89" s="78">
        <v>5.9470150000000004</v>
      </c>
      <c r="M89" s="77">
        <f t="shared" ref="M89:M101" si="24">K89*L89</f>
        <v>755.27090500000008</v>
      </c>
      <c r="N89" s="191"/>
      <c r="O89" s="78">
        <v>129</v>
      </c>
      <c r="P89" s="78">
        <v>6.2316500000000001</v>
      </c>
      <c r="Q89" s="77">
        <f t="shared" ref="Q89:Q101" si="25">O89*P89</f>
        <v>803.88284999999996</v>
      </c>
      <c r="R89" s="191"/>
      <c r="S89" s="78">
        <v>128</v>
      </c>
      <c r="T89" s="78">
        <v>7.1266369999999997</v>
      </c>
      <c r="U89" s="77">
        <f t="shared" ref="U89:U101" si="26">S89*T89</f>
        <v>912.20953599999996</v>
      </c>
    </row>
    <row r="90" spans="1:21" s="97" customFormat="1" x14ac:dyDescent="0.25">
      <c r="A90" s="95">
        <v>3</v>
      </c>
      <c r="B90" s="95" t="s">
        <v>25</v>
      </c>
      <c r="C90" s="96">
        <v>372</v>
      </c>
      <c r="D90" s="96">
        <v>9.2377529999999997</v>
      </c>
      <c r="E90" s="96">
        <f t="shared" si="22"/>
        <v>3436.4441159999997</v>
      </c>
      <c r="F90" s="191"/>
      <c r="G90" s="96">
        <v>370</v>
      </c>
      <c r="H90" s="96">
        <v>9.9718619999999998</v>
      </c>
      <c r="I90" s="96">
        <f t="shared" si="23"/>
        <v>3689.5889400000001</v>
      </c>
      <c r="J90" s="191"/>
      <c r="K90" s="96">
        <v>367</v>
      </c>
      <c r="L90" s="96">
        <v>18.914626999999999</v>
      </c>
      <c r="M90" s="96">
        <f t="shared" si="24"/>
        <v>6941.6681090000002</v>
      </c>
      <c r="N90" s="191"/>
      <c r="O90" s="96">
        <v>367</v>
      </c>
      <c r="P90" s="96">
        <v>19.868566999999999</v>
      </c>
      <c r="Q90" s="96">
        <f t="shared" si="25"/>
        <v>7291.7640889999993</v>
      </c>
      <c r="R90" s="191"/>
      <c r="S90" s="96">
        <v>365</v>
      </c>
      <c r="T90" s="96">
        <v>25.183712</v>
      </c>
      <c r="U90" s="96">
        <f t="shared" si="26"/>
        <v>9192.0548799999997</v>
      </c>
    </row>
    <row r="91" spans="1:21" s="120" customFormat="1" x14ac:dyDescent="0.25">
      <c r="A91" s="118">
        <v>4</v>
      </c>
      <c r="B91" s="118" t="s">
        <v>26</v>
      </c>
      <c r="C91" s="119">
        <v>149</v>
      </c>
      <c r="D91" s="119">
        <v>4.378425</v>
      </c>
      <c r="E91" s="119">
        <f t="shared" si="22"/>
        <v>652.38532499999997</v>
      </c>
      <c r="F91" s="191"/>
      <c r="G91" s="119">
        <v>149</v>
      </c>
      <c r="H91" s="119">
        <v>4.4258959999999998</v>
      </c>
      <c r="I91" s="119">
        <f t="shared" si="23"/>
        <v>659.45850399999995</v>
      </c>
      <c r="J91" s="191"/>
      <c r="K91" s="119">
        <v>151</v>
      </c>
      <c r="L91" s="119">
        <v>5.4050019999999996</v>
      </c>
      <c r="M91" s="119">
        <f t="shared" si="24"/>
        <v>816.15530199999989</v>
      </c>
      <c r="N91" s="191"/>
      <c r="O91" s="119">
        <v>149</v>
      </c>
      <c r="P91" s="119">
        <v>5.7581420000000003</v>
      </c>
      <c r="Q91" s="119">
        <f t="shared" si="25"/>
        <v>857.96315800000002</v>
      </c>
      <c r="R91" s="191"/>
      <c r="S91" s="119">
        <v>150</v>
      </c>
      <c r="T91" s="119">
        <v>6.1092579999999996</v>
      </c>
      <c r="U91" s="119">
        <f t="shared" si="26"/>
        <v>916.38869999999997</v>
      </c>
    </row>
    <row r="92" spans="1:21" x14ac:dyDescent="0.25">
      <c r="A92" s="5">
        <v>5</v>
      </c>
      <c r="B92" s="5" t="s">
        <v>27</v>
      </c>
      <c r="C92" s="78">
        <v>149</v>
      </c>
      <c r="D92" s="78">
        <v>6.7130190000000001</v>
      </c>
      <c r="E92" s="77">
        <f t="shared" si="22"/>
        <v>1000.239831</v>
      </c>
      <c r="F92" s="191"/>
      <c r="G92" s="78">
        <v>149</v>
      </c>
      <c r="H92" s="78">
        <v>6.7231920000000001</v>
      </c>
      <c r="I92" s="77">
        <f t="shared" si="23"/>
        <v>1001.7556080000001</v>
      </c>
      <c r="J92" s="191"/>
      <c r="K92" s="78">
        <v>150</v>
      </c>
      <c r="L92" s="78">
        <v>6.7343760000000001</v>
      </c>
      <c r="M92" s="77">
        <f t="shared" si="24"/>
        <v>1010.1564000000001</v>
      </c>
      <c r="N92" s="191"/>
      <c r="O92" s="78">
        <v>149</v>
      </c>
      <c r="P92" s="78">
        <v>6.6994559999999996</v>
      </c>
      <c r="Q92" s="77">
        <f t="shared" si="25"/>
        <v>998.21894399999996</v>
      </c>
      <c r="R92" s="191"/>
      <c r="S92" s="78">
        <v>147</v>
      </c>
      <c r="T92" s="78">
        <v>6.6814200000000001</v>
      </c>
      <c r="U92" s="77">
        <f t="shared" si="26"/>
        <v>982.16874000000007</v>
      </c>
    </row>
    <row r="93" spans="1:21" s="120" customFormat="1" x14ac:dyDescent="0.25">
      <c r="A93" s="118">
        <v>6</v>
      </c>
      <c r="B93" s="118" t="s">
        <v>28</v>
      </c>
      <c r="C93" s="119">
        <v>119</v>
      </c>
      <c r="D93" s="119">
        <v>5.0526939999999998</v>
      </c>
      <c r="E93" s="119">
        <f t="shared" si="22"/>
        <v>601.27058599999998</v>
      </c>
      <c r="F93" s="191"/>
      <c r="G93" s="119">
        <v>125</v>
      </c>
      <c r="H93" s="119">
        <v>5.213419</v>
      </c>
      <c r="I93" s="119">
        <f t="shared" si="23"/>
        <v>651.67737499999998</v>
      </c>
      <c r="J93" s="191"/>
      <c r="K93" s="119">
        <v>121</v>
      </c>
      <c r="L93" s="119">
        <v>6.1745109999999999</v>
      </c>
      <c r="M93" s="119">
        <f t="shared" si="24"/>
        <v>747.11583099999996</v>
      </c>
      <c r="N93" s="191"/>
      <c r="O93" s="119">
        <v>126</v>
      </c>
      <c r="P93" s="119">
        <v>6.5205890000000002</v>
      </c>
      <c r="Q93" s="119">
        <f t="shared" si="25"/>
        <v>821.59421400000008</v>
      </c>
      <c r="R93" s="191"/>
      <c r="S93" s="119">
        <v>128</v>
      </c>
      <c r="T93" s="119">
        <v>7.341825</v>
      </c>
      <c r="U93" s="119">
        <f t="shared" si="26"/>
        <v>939.75360000000001</v>
      </c>
    </row>
    <row r="94" spans="1:21" s="97" customFormat="1" x14ac:dyDescent="0.25">
      <c r="A94" s="95">
        <v>7</v>
      </c>
      <c r="B94" s="95" t="s">
        <v>25</v>
      </c>
      <c r="C94" s="96">
        <v>369</v>
      </c>
      <c r="D94" s="96">
        <v>9.2608309999999996</v>
      </c>
      <c r="E94" s="96">
        <f t="shared" si="22"/>
        <v>3417.246639</v>
      </c>
      <c r="F94" s="191"/>
      <c r="G94" s="96">
        <v>366</v>
      </c>
      <c r="H94" s="117">
        <v>10.065149</v>
      </c>
      <c r="I94" s="96">
        <f t="shared" si="23"/>
        <v>3683.8445339999998</v>
      </c>
      <c r="J94" s="191"/>
      <c r="K94" s="96">
        <v>367</v>
      </c>
      <c r="L94" s="96">
        <v>18.856100000000001</v>
      </c>
      <c r="M94" s="96">
        <f t="shared" si="24"/>
        <v>6920.1887000000006</v>
      </c>
      <c r="N94" s="191"/>
      <c r="O94" s="96">
        <v>367</v>
      </c>
      <c r="P94" s="96">
        <v>19.682791999999999</v>
      </c>
      <c r="Q94" s="96">
        <f t="shared" si="25"/>
        <v>7223.584664</v>
      </c>
      <c r="R94" s="191"/>
      <c r="S94" s="96">
        <v>361</v>
      </c>
      <c r="T94" s="96">
        <v>24.990151999999998</v>
      </c>
      <c r="U94" s="96">
        <f t="shared" si="26"/>
        <v>9021.444872</v>
      </c>
    </row>
    <row r="95" spans="1:21" s="120" customFormat="1" x14ac:dyDescent="0.25">
      <c r="A95" s="118">
        <v>8</v>
      </c>
      <c r="B95" s="118" t="s">
        <v>26</v>
      </c>
      <c r="C95" s="119">
        <v>152</v>
      </c>
      <c r="D95" s="119">
        <v>4.3962269999999997</v>
      </c>
      <c r="E95" s="119">
        <f t="shared" si="22"/>
        <v>668.22650399999998</v>
      </c>
      <c r="F95" s="191"/>
      <c r="G95" s="119">
        <v>152</v>
      </c>
      <c r="H95" s="119">
        <v>4.7835479999999997</v>
      </c>
      <c r="I95" s="119">
        <f t="shared" si="23"/>
        <v>727.09929599999998</v>
      </c>
      <c r="J95" s="191"/>
      <c r="K95" s="119">
        <v>151</v>
      </c>
      <c r="L95" s="119">
        <v>5.4143270000000001</v>
      </c>
      <c r="M95" s="119">
        <f t="shared" si="24"/>
        <v>817.56337700000006</v>
      </c>
      <c r="N95" s="191"/>
      <c r="O95" s="119">
        <v>153</v>
      </c>
      <c r="P95" s="119">
        <v>5.4726549999999996</v>
      </c>
      <c r="Q95" s="119">
        <f t="shared" si="25"/>
        <v>837.31621499999994</v>
      </c>
      <c r="R95" s="191"/>
      <c r="S95" s="119">
        <v>150</v>
      </c>
      <c r="T95" s="121">
        <v>6.1280989999999997</v>
      </c>
      <c r="U95" s="119">
        <f t="shared" si="26"/>
        <v>919.21484999999996</v>
      </c>
    </row>
    <row r="96" spans="1:21" x14ac:dyDescent="0.25">
      <c r="A96" s="5">
        <v>9</v>
      </c>
      <c r="B96" s="5" t="s">
        <v>27</v>
      </c>
      <c r="C96" s="78">
        <v>114</v>
      </c>
      <c r="D96" s="78">
        <v>6.760491</v>
      </c>
      <c r="E96" s="77">
        <f t="shared" si="22"/>
        <v>770.69597399999998</v>
      </c>
      <c r="F96" s="191"/>
      <c r="G96" s="78">
        <v>147</v>
      </c>
      <c r="H96" s="78">
        <v>6.7774450000000002</v>
      </c>
      <c r="I96" s="77">
        <f t="shared" si="23"/>
        <v>996.28441500000008</v>
      </c>
      <c r="J96" s="191"/>
      <c r="K96" s="78">
        <v>144</v>
      </c>
      <c r="L96" s="78">
        <v>6.7291259999999999</v>
      </c>
      <c r="M96" s="77">
        <f t="shared" si="24"/>
        <v>968.99414400000001</v>
      </c>
      <c r="N96" s="191"/>
      <c r="O96" s="78">
        <v>146</v>
      </c>
      <c r="P96" s="78">
        <v>6.6726510000000001</v>
      </c>
      <c r="Q96" s="77">
        <f t="shared" si="25"/>
        <v>974.20704599999999</v>
      </c>
      <c r="R96" s="191"/>
      <c r="S96" s="78">
        <v>147</v>
      </c>
      <c r="T96" s="78">
        <v>6.737603</v>
      </c>
      <c r="U96" s="77">
        <f t="shared" si="26"/>
        <v>990.42764099999999</v>
      </c>
    </row>
    <row r="97" spans="1:21" s="120" customFormat="1" x14ac:dyDescent="0.25">
      <c r="A97" s="118">
        <v>10</v>
      </c>
      <c r="B97" s="118" t="s">
        <v>28</v>
      </c>
      <c r="C97" s="119">
        <v>125</v>
      </c>
      <c r="D97" s="119">
        <v>5.0516759999999996</v>
      </c>
      <c r="E97" s="119">
        <f t="shared" si="22"/>
        <v>631.45949999999993</v>
      </c>
      <c r="F97" s="191"/>
      <c r="G97" s="119">
        <v>128</v>
      </c>
      <c r="H97" s="119">
        <v>5.3640509999999999</v>
      </c>
      <c r="I97" s="119">
        <f t="shared" si="23"/>
        <v>686.59852799999999</v>
      </c>
      <c r="J97" s="191"/>
      <c r="K97" s="119">
        <v>124</v>
      </c>
      <c r="L97" s="119">
        <v>6.2428790000000003</v>
      </c>
      <c r="M97" s="119">
        <f t="shared" si="24"/>
        <v>774.11699600000009</v>
      </c>
      <c r="N97" s="191"/>
      <c r="O97" s="119">
        <v>122</v>
      </c>
      <c r="P97" s="119">
        <v>6.4575189999999996</v>
      </c>
      <c r="Q97" s="119">
        <f t="shared" si="25"/>
        <v>787.817318</v>
      </c>
      <c r="R97" s="191"/>
      <c r="S97" s="119">
        <v>132</v>
      </c>
      <c r="T97" s="119">
        <v>8.0419470000000004</v>
      </c>
      <c r="U97" s="119">
        <f t="shared" si="26"/>
        <v>1061.537004</v>
      </c>
    </row>
    <row r="98" spans="1:21" s="97" customFormat="1" x14ac:dyDescent="0.25">
      <c r="A98" s="95">
        <v>11</v>
      </c>
      <c r="B98" s="95" t="s">
        <v>25</v>
      </c>
      <c r="C98" s="96">
        <v>369</v>
      </c>
      <c r="D98" s="96">
        <v>9.0734049999999993</v>
      </c>
      <c r="E98" s="96">
        <f t="shared" si="22"/>
        <v>3348.0864449999999</v>
      </c>
      <c r="F98" s="191"/>
      <c r="G98" s="96">
        <v>367</v>
      </c>
      <c r="H98" s="96">
        <v>9.8737080000000006</v>
      </c>
      <c r="I98" s="96">
        <f t="shared" si="23"/>
        <v>3623.6508360000003</v>
      </c>
      <c r="J98" s="191"/>
      <c r="K98" s="96">
        <v>374</v>
      </c>
      <c r="L98" s="96">
        <v>18.494408</v>
      </c>
      <c r="M98" s="96">
        <f t="shared" si="24"/>
        <v>6916.9085919999998</v>
      </c>
      <c r="N98" s="191"/>
      <c r="O98" s="96">
        <v>367</v>
      </c>
      <c r="P98" s="96">
        <v>19.180436</v>
      </c>
      <c r="Q98" s="96">
        <f t="shared" si="25"/>
        <v>7039.2200119999998</v>
      </c>
      <c r="R98" s="191"/>
      <c r="S98" s="96">
        <v>357</v>
      </c>
      <c r="T98" s="96">
        <v>23.873464999999999</v>
      </c>
      <c r="U98" s="96">
        <f t="shared" si="26"/>
        <v>8522.8270049999992</v>
      </c>
    </row>
    <row r="99" spans="1:21" s="120" customFormat="1" x14ac:dyDescent="0.25">
      <c r="A99" s="118">
        <v>12</v>
      </c>
      <c r="B99" s="118" t="s">
        <v>26</v>
      </c>
      <c r="C99" s="119">
        <v>146</v>
      </c>
      <c r="D99" s="119">
        <v>4.5030380000000001</v>
      </c>
      <c r="E99" s="119">
        <f t="shared" si="22"/>
        <v>657.44354799999996</v>
      </c>
      <c r="F99" s="191"/>
      <c r="G99" s="119">
        <v>150</v>
      </c>
      <c r="H99" s="119">
        <v>4.5620500000000002</v>
      </c>
      <c r="I99" s="119">
        <f t="shared" si="23"/>
        <v>684.3075</v>
      </c>
      <c r="J99" s="191"/>
      <c r="K99" s="119">
        <v>148</v>
      </c>
      <c r="L99" s="119">
        <v>5.1099990000000002</v>
      </c>
      <c r="M99" s="119">
        <f t="shared" si="24"/>
        <v>756.27985200000001</v>
      </c>
      <c r="N99" s="191"/>
      <c r="O99" s="119">
        <v>149</v>
      </c>
      <c r="P99" s="119">
        <v>5.4897729999999996</v>
      </c>
      <c r="Q99" s="119">
        <f t="shared" si="25"/>
        <v>817.97617699999989</v>
      </c>
      <c r="R99" s="191"/>
      <c r="S99" s="119">
        <v>154</v>
      </c>
      <c r="T99" s="119">
        <v>6.4873690000000002</v>
      </c>
      <c r="U99" s="119">
        <f t="shared" si="26"/>
        <v>999.05482600000005</v>
      </c>
    </row>
    <row r="100" spans="1:21" x14ac:dyDescent="0.25">
      <c r="A100" s="5">
        <v>13</v>
      </c>
      <c r="B100" s="5" t="s">
        <v>27</v>
      </c>
      <c r="C100" s="78">
        <v>158</v>
      </c>
      <c r="D100" s="78">
        <v>6.6955879999999999</v>
      </c>
      <c r="E100" s="77">
        <f t="shared" si="22"/>
        <v>1057.902904</v>
      </c>
      <c r="F100" s="191"/>
      <c r="G100" s="78">
        <v>154</v>
      </c>
      <c r="H100" s="78">
        <v>6.7475019999999999</v>
      </c>
      <c r="I100" s="77">
        <f t="shared" si="23"/>
        <v>1039.1153079999999</v>
      </c>
      <c r="J100" s="191"/>
      <c r="K100" s="78">
        <v>154</v>
      </c>
      <c r="L100" s="78">
        <v>6.7524240000000004</v>
      </c>
      <c r="M100" s="77">
        <f t="shared" si="24"/>
        <v>1039.873296</v>
      </c>
      <c r="N100" s="191"/>
      <c r="O100" s="78">
        <v>160</v>
      </c>
      <c r="P100" s="78">
        <v>6.7679090000000004</v>
      </c>
      <c r="Q100" s="77">
        <f t="shared" si="25"/>
        <v>1082.86544</v>
      </c>
      <c r="R100" s="191"/>
      <c r="S100" s="78">
        <v>154</v>
      </c>
      <c r="T100" s="78">
        <v>6.771293</v>
      </c>
      <c r="U100" s="77">
        <f t="shared" si="26"/>
        <v>1042.7791219999999</v>
      </c>
    </row>
    <row r="101" spans="1:21" x14ac:dyDescent="0.25">
      <c r="A101" s="5">
        <v>14</v>
      </c>
      <c r="B101" s="5" t="s">
        <v>29</v>
      </c>
      <c r="C101" s="78">
        <v>214</v>
      </c>
      <c r="D101" s="78">
        <v>4.088387</v>
      </c>
      <c r="E101" s="77">
        <f t="shared" si="22"/>
        <v>874.91481799999997</v>
      </c>
      <c r="F101" s="191"/>
      <c r="G101" s="78">
        <v>207</v>
      </c>
      <c r="H101" s="78">
        <v>4.3196019999999997</v>
      </c>
      <c r="I101" s="77">
        <f t="shared" si="23"/>
        <v>894.15761399999997</v>
      </c>
      <c r="J101" s="191"/>
      <c r="K101" s="78">
        <v>188</v>
      </c>
      <c r="L101" s="78">
        <v>4.7460329999999997</v>
      </c>
      <c r="M101" s="77">
        <f t="shared" si="24"/>
        <v>892.25420399999996</v>
      </c>
      <c r="N101" s="191"/>
      <c r="O101" s="78">
        <v>207</v>
      </c>
      <c r="P101" s="78">
        <v>4.2811450000000004</v>
      </c>
      <c r="Q101" s="77">
        <f t="shared" si="25"/>
        <v>886.19701500000008</v>
      </c>
      <c r="R101" s="191"/>
      <c r="S101" s="78">
        <v>199</v>
      </c>
      <c r="T101" s="78">
        <v>4.4142400000000004</v>
      </c>
      <c r="U101" s="77">
        <f t="shared" si="26"/>
        <v>878.43376000000012</v>
      </c>
    </row>
    <row r="102" spans="1:21" x14ac:dyDescent="0.25">
      <c r="A102" s="5">
        <v>15</v>
      </c>
      <c r="B102" s="5" t="s">
        <v>60</v>
      </c>
      <c r="C102" s="78"/>
      <c r="D102" s="78"/>
      <c r="E102" s="77"/>
      <c r="F102" s="191"/>
      <c r="G102" s="78"/>
      <c r="H102" s="78"/>
      <c r="I102" s="77"/>
      <c r="J102" s="191"/>
      <c r="K102" s="78"/>
      <c r="L102" s="78"/>
      <c r="M102" s="77"/>
      <c r="N102" s="191"/>
      <c r="O102" s="78"/>
      <c r="P102" s="78"/>
      <c r="Q102" s="77"/>
      <c r="R102" s="191"/>
      <c r="S102" s="78"/>
      <c r="T102" s="78"/>
      <c r="U102" s="77"/>
    </row>
    <row r="103" spans="1:21" x14ac:dyDescent="0.25">
      <c r="A103" s="79"/>
      <c r="B103" s="5" t="s">
        <v>56</v>
      </c>
      <c r="C103" s="173">
        <f>SUM(C88:C102)</f>
        <v>2857</v>
      </c>
      <c r="D103" s="174"/>
      <c r="E103" s="175"/>
      <c r="F103" s="191"/>
      <c r="G103" s="184">
        <f>SUM(G88:G101)</f>
        <v>2886</v>
      </c>
      <c r="H103" s="185"/>
      <c r="I103" s="186"/>
      <c r="J103" s="191"/>
      <c r="K103" s="184">
        <f>SUM(K88:K101)</f>
        <v>2862</v>
      </c>
      <c r="L103" s="185"/>
      <c r="M103" s="186"/>
      <c r="N103" s="191"/>
      <c r="O103" s="184">
        <f>SUM(O88:O101)</f>
        <v>2883</v>
      </c>
      <c r="P103" s="185"/>
      <c r="Q103" s="186"/>
      <c r="R103" s="191"/>
      <c r="S103" s="184">
        <f>SUM(S88:S101)</f>
        <v>2862</v>
      </c>
      <c r="T103" s="185"/>
      <c r="U103" s="186"/>
    </row>
    <row r="104" spans="1:21" x14ac:dyDescent="0.25">
      <c r="A104" s="79"/>
      <c r="B104" s="5" t="s">
        <v>57</v>
      </c>
      <c r="C104" s="173">
        <f>SUM(E88:E101)/C103</f>
        <v>6.6273578204410217</v>
      </c>
      <c r="D104" s="174"/>
      <c r="E104" s="175"/>
      <c r="F104" s="192"/>
      <c r="G104" s="184">
        <f>SUM(I88:I101)/G103</f>
        <v>6.9759375713790721</v>
      </c>
      <c r="H104" s="185"/>
      <c r="I104" s="186"/>
      <c r="J104" s="192"/>
      <c r="K104" s="184">
        <f>SUM(M88:M101)/K103</f>
        <v>10.671322218029349</v>
      </c>
      <c r="L104" s="185"/>
      <c r="M104" s="186"/>
      <c r="N104" s="192"/>
      <c r="O104" s="184">
        <f>SUM(Q88:Q101)/O103</f>
        <v>10.989228144987862</v>
      </c>
      <c r="P104" s="185"/>
      <c r="Q104" s="186"/>
      <c r="R104" s="192"/>
      <c r="S104" s="184">
        <f>SUM(U88:U101)/S103</f>
        <v>13.124002584206849</v>
      </c>
      <c r="T104" s="185"/>
      <c r="U104" s="186"/>
    </row>
    <row r="105" spans="1:21" x14ac:dyDescent="0.25">
      <c r="D105" t="s">
        <v>61</v>
      </c>
      <c r="E105" t="s">
        <v>62</v>
      </c>
      <c r="H105" t="s">
        <v>61</v>
      </c>
      <c r="I105" t="s">
        <v>62</v>
      </c>
      <c r="L105" t="s">
        <v>61</v>
      </c>
      <c r="M105" t="s">
        <v>62</v>
      </c>
      <c r="P105" t="s">
        <v>61</v>
      </c>
      <c r="Q105" t="s">
        <v>62</v>
      </c>
      <c r="T105" t="s">
        <v>61</v>
      </c>
      <c r="U105" t="s">
        <v>62</v>
      </c>
    </row>
    <row r="106" spans="1:21" x14ac:dyDescent="0.25">
      <c r="B106" s="5" t="s">
        <v>60</v>
      </c>
      <c r="C106" s="78">
        <v>25158</v>
      </c>
      <c r="D106" s="78">
        <v>0.305176</v>
      </c>
      <c r="E106" s="77">
        <v>1.1594999999999999E-2</v>
      </c>
      <c r="G106" s="78">
        <v>23117</v>
      </c>
      <c r="H106" s="78">
        <v>0.27974399999999999</v>
      </c>
      <c r="I106" s="77">
        <v>2.5684999999999999E-2</v>
      </c>
      <c r="K106" s="78">
        <v>21156</v>
      </c>
      <c r="L106" s="78">
        <v>0.33060699999999998</v>
      </c>
      <c r="M106" s="77">
        <v>2.6606999999999999E-2</v>
      </c>
      <c r="O106" s="78">
        <v>22113</v>
      </c>
      <c r="P106" s="78">
        <v>0.33060699999999998</v>
      </c>
      <c r="Q106" s="77">
        <v>1.0243E-2</v>
      </c>
      <c r="S106" s="78">
        <v>22131</v>
      </c>
      <c r="T106" s="78">
        <v>0.25431300000000001</v>
      </c>
      <c r="U106" s="77">
        <v>1.1336000000000001E-2</v>
      </c>
    </row>
    <row r="110" spans="1:21" s="81" customFormat="1" x14ac:dyDescent="0.25"/>
    <row r="111" spans="1:21" x14ac:dyDescent="0.25">
      <c r="B111" t="str">
        <f>CONCATENATE("Common ", 'CC23XX Power Computation Sheet'!B2)</f>
        <v>Common 3.0V</v>
      </c>
    </row>
    <row r="113" spans="1:25" ht="26.25" customHeight="1" x14ac:dyDescent="0.25">
      <c r="B113" s="43" t="s">
        <v>19</v>
      </c>
      <c r="C113" s="44" t="s">
        <v>20</v>
      </c>
      <c r="D113" s="45" t="s">
        <v>21</v>
      </c>
      <c r="E113" s="4" t="s">
        <v>22</v>
      </c>
      <c r="F113" s="200"/>
      <c r="G113" s="201"/>
      <c r="H113" s="201"/>
      <c r="I113" s="201"/>
      <c r="J113" s="200"/>
      <c r="K113" s="201"/>
      <c r="L113" s="201"/>
      <c r="M113" s="201"/>
      <c r="N113" s="200"/>
      <c r="O113" s="201"/>
      <c r="P113" s="201"/>
      <c r="Q113" s="201"/>
      <c r="R113" s="200"/>
      <c r="S113" s="201"/>
      <c r="T113" s="201"/>
      <c r="U113" s="201"/>
      <c r="V113" s="200"/>
      <c r="W113" s="201"/>
      <c r="X113" s="201"/>
      <c r="Y113" s="201"/>
    </row>
    <row r="114" spans="1:25" x14ac:dyDescent="0.25">
      <c r="A114" s="47">
        <v>1</v>
      </c>
      <c r="B114" s="47" t="s">
        <v>23</v>
      </c>
      <c r="C114" s="48">
        <f>CHOOSE(IF(B111="Common 3.0V",1,IF(B111="Common 3.3V",2)), W60, W4)</f>
        <v>293</v>
      </c>
      <c r="D114" s="48">
        <f>CHOOSE(IF(B111="Common 3.0V",1,IF(B111="Common 3.3V",2)), X60, X4)</f>
        <v>4.439834989761092</v>
      </c>
      <c r="E114" s="49">
        <f t="shared" ref="E114:E127" si="27">Y4</f>
        <v>1322.8288995490416</v>
      </c>
      <c r="F114" s="200"/>
      <c r="G114" s="201"/>
      <c r="H114" s="201"/>
      <c r="I114" s="201"/>
      <c r="J114" s="200"/>
      <c r="K114" s="201"/>
      <c r="L114" s="201"/>
      <c r="M114" s="201"/>
      <c r="N114" s="200"/>
      <c r="O114" s="201"/>
      <c r="P114" s="201"/>
      <c r="Q114" s="201"/>
      <c r="R114" s="200"/>
      <c r="S114" s="201"/>
      <c r="T114" s="201"/>
      <c r="U114" s="201"/>
      <c r="V114" s="200"/>
      <c r="W114" s="201"/>
      <c r="X114" s="201"/>
      <c r="Y114" s="201"/>
    </row>
    <row r="115" spans="1:25" x14ac:dyDescent="0.25">
      <c r="A115" s="47">
        <v>2</v>
      </c>
      <c r="B115" s="47" t="s">
        <v>24</v>
      </c>
      <c r="C115" s="87">
        <f>CHOOSE(IF(B111="Common 3.0V",1,IF(B111="Common 3.3V",2)), W61, W5)</f>
        <v>116</v>
      </c>
      <c r="D115" s="87">
        <f>CHOOSE(IF(B111="Common 3.0V",1,IF(B111="Common 3.3V",2)), X61, X5)</f>
        <v>5.1100000000000003</v>
      </c>
      <c r="E115" s="50">
        <f t="shared" si="27"/>
        <v>558.41874800000005</v>
      </c>
      <c r="F115" s="200"/>
      <c r="G115" s="123"/>
      <c r="H115" s="123"/>
      <c r="I115" s="123"/>
      <c r="J115" s="200"/>
      <c r="K115" s="123"/>
      <c r="L115" s="123"/>
      <c r="M115" s="123"/>
      <c r="N115" s="200"/>
      <c r="O115" s="123"/>
      <c r="P115" s="123"/>
      <c r="Q115" s="123"/>
      <c r="R115" s="200"/>
      <c r="S115" s="123"/>
      <c r="T115" s="123"/>
      <c r="U115" s="123"/>
      <c r="V115" s="200"/>
      <c r="W115" s="123"/>
      <c r="X115" s="123"/>
      <c r="Y115" s="123"/>
    </row>
    <row r="116" spans="1:25" x14ac:dyDescent="0.25">
      <c r="A116" s="47">
        <v>3</v>
      </c>
      <c r="B116" s="47" t="s">
        <v>25</v>
      </c>
      <c r="C116" s="48">
        <f>CHOOSE(IF(B111="Common 3.0V",1,IF(B111="Common 3.3V",2)), W62, W6)</f>
        <v>168</v>
      </c>
      <c r="D116" s="48">
        <f>CHOOSE(IF(B111="Common 3.0V",1,IF(B111="Common 3.3V",2)), X62, X6)</f>
        <v>10.52</v>
      </c>
      <c r="E116" s="50">
        <f t="shared" si="27"/>
        <v>1651.7103120000002</v>
      </c>
      <c r="F116" s="200"/>
      <c r="G116" s="123"/>
      <c r="H116" s="124"/>
      <c r="I116" s="123"/>
      <c r="J116" s="200"/>
      <c r="K116" s="123"/>
      <c r="L116" s="123"/>
      <c r="M116" s="123"/>
      <c r="N116" s="200"/>
      <c r="O116" s="123"/>
      <c r="P116" s="123"/>
      <c r="Q116" s="123"/>
      <c r="R116" s="200"/>
      <c r="S116" s="123"/>
      <c r="T116" s="123"/>
      <c r="U116" s="123"/>
      <c r="V116" s="200"/>
      <c r="W116" s="123"/>
      <c r="X116" s="123"/>
      <c r="Y116" s="123"/>
    </row>
    <row r="117" spans="1:25" x14ac:dyDescent="0.25">
      <c r="A117" s="47">
        <v>4</v>
      </c>
      <c r="B117" s="47" t="s">
        <v>26</v>
      </c>
      <c r="C117" s="48">
        <f>CHOOSE(IF(B111="Common 3.0V",1,IF(B111="Common 3.3V",2)), W63, W7)</f>
        <v>151</v>
      </c>
      <c r="D117" s="48">
        <f>CHOOSE(IF(B111="Common 3.0V",1,IF(B111="Common 3.3V",2)), X63, X7)</f>
        <v>4.8</v>
      </c>
      <c r="E117" s="50">
        <f t="shared" si="27"/>
        <v>653.52204599999993</v>
      </c>
      <c r="F117" s="200"/>
      <c r="G117" s="123"/>
      <c r="H117" s="123"/>
      <c r="I117" s="123"/>
      <c r="J117" s="200"/>
      <c r="K117" s="123"/>
      <c r="L117" s="123"/>
      <c r="M117" s="123"/>
      <c r="N117" s="200"/>
      <c r="O117" s="123"/>
      <c r="P117" s="123"/>
      <c r="Q117" s="123"/>
      <c r="R117" s="200"/>
      <c r="S117" s="123"/>
      <c r="T117" s="123"/>
      <c r="U117" s="123"/>
      <c r="V117" s="200"/>
      <c r="W117" s="123"/>
      <c r="X117" s="123"/>
      <c r="Y117" s="123"/>
    </row>
    <row r="118" spans="1:25" x14ac:dyDescent="0.25">
      <c r="A118" s="47">
        <v>5</v>
      </c>
      <c r="B118" s="47" t="s">
        <v>27</v>
      </c>
      <c r="C118" s="48">
        <f>CHOOSE(IF(B111="Common 3.0V",1,IF(B111="Common 3.3V",2)), W64, W8)</f>
        <v>148</v>
      </c>
      <c r="D118" s="48">
        <f>CHOOSE(IF(B111="Common 3.0V",1,IF(B111="Common 3.3V",2)), X64, X8)</f>
        <v>7.2389598468468472</v>
      </c>
      <c r="E118" s="50">
        <f t="shared" si="27"/>
        <v>978.17617208647448</v>
      </c>
      <c r="F118" s="200"/>
      <c r="G118" s="123"/>
      <c r="H118" s="123"/>
      <c r="I118" s="123"/>
      <c r="J118" s="200"/>
      <c r="K118" s="123"/>
      <c r="L118" s="123"/>
      <c r="M118" s="123"/>
      <c r="N118" s="200"/>
      <c r="O118" s="123"/>
      <c r="P118" s="123"/>
      <c r="Q118" s="123"/>
      <c r="R118" s="200"/>
      <c r="S118" s="123"/>
      <c r="T118" s="123"/>
      <c r="U118" s="123"/>
      <c r="V118" s="200"/>
      <c r="W118" s="123"/>
      <c r="X118" s="123"/>
      <c r="Y118" s="123"/>
    </row>
    <row r="119" spans="1:25" x14ac:dyDescent="0.25">
      <c r="A119" s="47">
        <v>6</v>
      </c>
      <c r="B119" s="47" t="s">
        <v>28</v>
      </c>
      <c r="C119" s="48">
        <f>CHOOSE(IF(B111="Common 3.0V",1,IF(B111="Common 3.3V",2)), W65, W9)</f>
        <v>121</v>
      </c>
      <c r="D119" s="48">
        <f>CHOOSE(IF(B111="Common 3.0V",1,IF(B111="Common 3.3V",2)), X65, X9)</f>
        <v>5.54</v>
      </c>
      <c r="E119" s="50">
        <f t="shared" si="27"/>
        <v>609.61305600000003</v>
      </c>
      <c r="F119" s="200"/>
      <c r="G119" s="123"/>
      <c r="H119" s="123"/>
      <c r="I119" s="123"/>
      <c r="J119" s="200"/>
      <c r="K119" s="123"/>
      <c r="L119" s="123"/>
      <c r="M119" s="123"/>
      <c r="N119" s="200"/>
      <c r="O119" s="123"/>
      <c r="P119" s="123"/>
      <c r="Q119" s="123"/>
      <c r="R119" s="200"/>
      <c r="S119" s="123"/>
      <c r="T119" s="123"/>
      <c r="U119" s="123"/>
      <c r="V119" s="200"/>
      <c r="W119" s="123"/>
      <c r="X119" s="123"/>
      <c r="Y119" s="123"/>
    </row>
    <row r="120" spans="1:25" x14ac:dyDescent="0.25">
      <c r="A120" s="47">
        <v>7</v>
      </c>
      <c r="B120" s="47" t="s">
        <v>25</v>
      </c>
      <c r="C120" s="48">
        <f>CHOOSE(IF(B111="Common 3.0V",1,IF(B111="Common 3.3V",2)), W66, W10)</f>
        <v>168</v>
      </c>
      <c r="D120" s="48">
        <f>CHOOSE(IF(B111="Common 3.0V",1,IF(B111="Common 3.3V",2)), X66, X10)</f>
        <v>10.6</v>
      </c>
      <c r="E120" s="50">
        <f t="shared" si="27"/>
        <v>1646.974224</v>
      </c>
      <c r="F120" s="200"/>
      <c r="G120" s="123"/>
      <c r="H120" s="123"/>
      <c r="I120" s="123"/>
      <c r="J120" s="200"/>
      <c r="K120" s="123"/>
      <c r="L120" s="123"/>
      <c r="M120" s="123"/>
      <c r="N120" s="200"/>
      <c r="O120" s="123"/>
      <c r="P120" s="123"/>
      <c r="Q120" s="123"/>
      <c r="R120" s="200"/>
      <c r="S120" s="123"/>
      <c r="T120" s="123"/>
      <c r="U120" s="123"/>
      <c r="V120" s="200"/>
      <c r="W120" s="123"/>
      <c r="X120" s="123"/>
      <c r="Y120" s="123"/>
    </row>
    <row r="121" spans="1:25" x14ac:dyDescent="0.25">
      <c r="A121" s="47">
        <v>8</v>
      </c>
      <c r="B121" s="47" t="s">
        <v>26</v>
      </c>
      <c r="C121" s="48">
        <f>CHOOSE(IF(B111="Common 3.0V",1,IF(B111="Common 3.3V",2)), W67, W11)</f>
        <v>150</v>
      </c>
      <c r="D121" s="48">
        <f>CHOOSE(IF(B111="Common 3.0V",1,IF(B111="Common 3.3V",2)), X67, X11)</f>
        <v>4.72</v>
      </c>
      <c r="E121" s="50">
        <f t="shared" si="27"/>
        <v>698.237211</v>
      </c>
      <c r="F121" s="200"/>
      <c r="G121" s="123"/>
      <c r="H121" s="123"/>
      <c r="I121" s="123"/>
      <c r="J121" s="200"/>
      <c r="K121" s="123"/>
      <c r="L121" s="123"/>
      <c r="M121" s="123"/>
      <c r="N121" s="200"/>
      <c r="O121" s="123"/>
      <c r="P121" s="123"/>
      <c r="Q121" s="123"/>
      <c r="R121" s="200"/>
      <c r="S121" s="123"/>
      <c r="T121" s="123"/>
      <c r="U121" s="123"/>
      <c r="V121" s="200"/>
      <c r="W121" s="123"/>
      <c r="X121" s="123"/>
      <c r="Y121" s="123"/>
    </row>
    <row r="122" spans="1:25" x14ac:dyDescent="0.25">
      <c r="A122" s="47">
        <v>9</v>
      </c>
      <c r="B122" s="47" t="s">
        <v>27</v>
      </c>
      <c r="C122" s="48">
        <f>CHOOSE(IF(B111="Common 3.0V",1,IF(B111="Common 3.3V",2)), W68, W12)</f>
        <v>146</v>
      </c>
      <c r="D122" s="48">
        <f>CHOOSE(IF(B111="Common 3.0V",1,IF(B111="Common 3.3V",2)), X68, X12)</f>
        <v>7.2118333652968039</v>
      </c>
      <c r="E122" s="50">
        <f t="shared" si="27"/>
        <v>972.35250413839276</v>
      </c>
      <c r="F122" s="200"/>
      <c r="G122" s="123"/>
      <c r="H122" s="124"/>
      <c r="I122" s="123"/>
      <c r="J122" s="200"/>
      <c r="K122" s="123"/>
      <c r="L122" s="123"/>
      <c r="M122" s="123"/>
      <c r="N122" s="200"/>
      <c r="O122" s="123"/>
      <c r="P122" s="123"/>
      <c r="Q122" s="123"/>
      <c r="R122" s="200"/>
      <c r="S122" s="123"/>
      <c r="T122" s="123"/>
      <c r="U122" s="123"/>
      <c r="V122" s="200"/>
      <c r="W122" s="123"/>
      <c r="X122" s="123"/>
      <c r="Y122" s="123"/>
    </row>
    <row r="123" spans="1:25" x14ac:dyDescent="0.25">
      <c r="A123" s="47">
        <v>10</v>
      </c>
      <c r="B123" s="47" t="s">
        <v>28</v>
      </c>
      <c r="C123" s="48">
        <f>CHOOSE(IF(B111="Common 3.0V",1,IF(B111="Common 3.3V",2)), W69, W13)</f>
        <v>120</v>
      </c>
      <c r="D123" s="48">
        <f>CHOOSE(IF(B111="Common 3.0V",1,IF(B111="Common 3.3V",2)), X69, X13)</f>
        <v>5.44</v>
      </c>
      <c r="E123" s="50">
        <f t="shared" si="27"/>
        <v>630.65748000000008</v>
      </c>
      <c r="F123" s="200"/>
      <c r="G123" s="123"/>
      <c r="H123" s="123"/>
      <c r="I123" s="123"/>
      <c r="J123" s="200"/>
      <c r="K123" s="123"/>
      <c r="L123" s="123"/>
      <c r="M123" s="123"/>
      <c r="N123" s="200"/>
      <c r="O123" s="123"/>
      <c r="P123" s="123"/>
      <c r="Q123" s="123"/>
      <c r="R123" s="200"/>
      <c r="S123" s="123"/>
      <c r="T123" s="124"/>
      <c r="U123" s="123"/>
      <c r="V123" s="200"/>
      <c r="W123" s="123"/>
      <c r="X123" s="124"/>
      <c r="Y123" s="123"/>
    </row>
    <row r="124" spans="1:25" x14ac:dyDescent="0.25">
      <c r="A124" s="47">
        <v>11</v>
      </c>
      <c r="B124" s="47" t="s">
        <v>25</v>
      </c>
      <c r="C124" s="48">
        <f>CHOOSE(IF(B111="Common 3.0V",1,IF(B111="Common 3.3V",2)), W70, W14)</f>
        <v>168</v>
      </c>
      <c r="D124" s="48">
        <f>CHOOSE(IF(B111="Common 3.0V",1,IF(B111="Common 3.3V",2)), X70, X14)</f>
        <v>10.5</v>
      </c>
      <c r="E124" s="50">
        <f t="shared" si="27"/>
        <v>1609.7089679999999</v>
      </c>
      <c r="F124" s="200"/>
      <c r="G124" s="123"/>
      <c r="H124" s="123"/>
      <c r="I124" s="123"/>
      <c r="J124" s="200"/>
      <c r="K124" s="123"/>
      <c r="L124" s="123"/>
      <c r="M124" s="123"/>
      <c r="N124" s="200"/>
      <c r="O124" s="123"/>
      <c r="P124" s="123"/>
      <c r="Q124" s="123"/>
      <c r="R124" s="200"/>
      <c r="S124" s="123"/>
      <c r="T124" s="123"/>
      <c r="U124" s="123"/>
      <c r="V124" s="200"/>
      <c r="W124" s="123"/>
      <c r="X124" s="123"/>
      <c r="Y124" s="123"/>
    </row>
    <row r="125" spans="1:25" x14ac:dyDescent="0.25">
      <c r="A125" s="47">
        <v>12</v>
      </c>
      <c r="B125" s="47" t="s">
        <v>26</v>
      </c>
      <c r="C125" s="48">
        <f>CHOOSE(IF(B111="Common 3.0V",1,IF(B111="Common 3.3V",2)), W71, W15)</f>
        <v>149</v>
      </c>
      <c r="D125" s="48">
        <f>CHOOSE(IF(B111="Common 3.0V",1,IF(B111="Common 3.3V",2)), X71, X15)</f>
        <v>4.68</v>
      </c>
      <c r="E125" s="50">
        <f t="shared" si="27"/>
        <v>664.02303800000004</v>
      </c>
      <c r="F125" s="200"/>
      <c r="G125" s="123"/>
      <c r="H125" s="123"/>
      <c r="I125" s="123"/>
      <c r="J125" s="200"/>
      <c r="K125" s="123"/>
      <c r="L125" s="123"/>
      <c r="M125" s="123"/>
      <c r="N125" s="200"/>
      <c r="O125" s="123"/>
      <c r="P125" s="123"/>
      <c r="Q125" s="123"/>
      <c r="R125" s="200"/>
      <c r="S125" s="123"/>
      <c r="T125" s="123"/>
      <c r="U125" s="123"/>
      <c r="V125" s="200"/>
      <c r="W125" s="123"/>
      <c r="X125" s="123"/>
      <c r="Y125" s="123"/>
    </row>
    <row r="126" spans="1:25" x14ac:dyDescent="0.25">
      <c r="A126" s="47">
        <v>13</v>
      </c>
      <c r="B126" s="47" t="s">
        <v>27</v>
      </c>
      <c r="C126" s="48">
        <f>CHOOSE(IF(B111="Common 3.0V",1,IF(B111="Common 3.3V",2)), W72, W16)</f>
        <v>150</v>
      </c>
      <c r="D126" s="48">
        <f>CHOOSE(IF(B111="Common 3.0V",1,IF(B111="Common 3.3V",2)), X72, X16)</f>
        <v>7.4900236103286373</v>
      </c>
      <c r="E126" s="50">
        <f t="shared" si="27"/>
        <v>987.96798000000013</v>
      </c>
      <c r="F126" s="200"/>
      <c r="G126" s="123"/>
      <c r="H126" s="123"/>
      <c r="I126" s="123"/>
      <c r="J126" s="200"/>
      <c r="K126" s="123"/>
      <c r="L126" s="123"/>
      <c r="M126" s="123"/>
      <c r="N126" s="200"/>
      <c r="O126" s="123"/>
      <c r="P126" s="123"/>
      <c r="Q126" s="123"/>
      <c r="R126" s="200"/>
      <c r="S126" s="123"/>
      <c r="T126" s="123"/>
      <c r="U126" s="123"/>
      <c r="V126" s="200"/>
      <c r="W126" s="123"/>
      <c r="X126" s="123"/>
      <c r="Y126" s="123"/>
    </row>
    <row r="127" spans="1:25" x14ac:dyDescent="0.25">
      <c r="A127" s="47">
        <v>14</v>
      </c>
      <c r="B127" s="47" t="s">
        <v>29</v>
      </c>
      <c r="C127" s="48">
        <f>CHOOSE(IF(B111="Common 3.0V",1,IF(B111="Common 3.3V",2)), W73, W17)</f>
        <v>232</v>
      </c>
      <c r="D127" s="48">
        <f>CHOOSE(IF(B111="Common 3.0V",1,IF(B111="Common 3.3V",2)), X73, X17)</f>
        <v>5.1313532041379313</v>
      </c>
      <c r="E127" s="50">
        <f t="shared" si="27"/>
        <v>919.87590996969698</v>
      </c>
      <c r="F127" s="200"/>
      <c r="G127" s="123"/>
      <c r="H127" s="123"/>
      <c r="I127" s="123"/>
      <c r="J127" s="200"/>
      <c r="K127" s="123"/>
      <c r="L127" s="123"/>
      <c r="M127" s="123"/>
      <c r="N127" s="200"/>
      <c r="O127" s="123"/>
      <c r="P127" s="123"/>
      <c r="Q127" s="123"/>
      <c r="R127" s="200"/>
      <c r="S127" s="123"/>
      <c r="T127" s="123"/>
      <c r="U127" s="123"/>
      <c r="V127" s="200"/>
      <c r="W127" s="123"/>
      <c r="X127" s="123"/>
      <c r="Y127" s="123"/>
    </row>
    <row r="128" spans="1:25" x14ac:dyDescent="0.25">
      <c r="B128" s="51"/>
      <c r="C128" s="48"/>
      <c r="D128" s="48"/>
      <c r="E128" s="50"/>
      <c r="F128" s="200"/>
      <c r="G128" s="123"/>
      <c r="H128" s="123"/>
      <c r="I128" s="123"/>
      <c r="J128" s="200"/>
      <c r="K128" s="123"/>
      <c r="L128" s="123"/>
      <c r="M128" s="123"/>
      <c r="N128" s="200"/>
      <c r="O128" s="123"/>
      <c r="P128" s="123"/>
      <c r="Q128" s="123"/>
      <c r="R128" s="200"/>
      <c r="S128" s="123"/>
      <c r="T128" s="123"/>
      <c r="U128" s="123"/>
      <c r="V128" s="200"/>
      <c r="W128" s="123"/>
      <c r="X128" s="123"/>
      <c r="Y128" s="123"/>
    </row>
    <row r="129" spans="1:25" x14ac:dyDescent="0.25">
      <c r="B129" s="51"/>
      <c r="C129" s="48"/>
      <c r="D129" s="48"/>
      <c r="E129" s="50"/>
      <c r="F129" s="200"/>
      <c r="G129" s="123"/>
      <c r="H129" s="123"/>
      <c r="I129" s="123"/>
      <c r="J129" s="200"/>
      <c r="K129" s="123"/>
      <c r="L129" s="123"/>
      <c r="M129" s="123"/>
      <c r="N129" s="200"/>
      <c r="O129" s="123"/>
      <c r="P129" s="123"/>
      <c r="Q129" s="123"/>
      <c r="R129" s="200"/>
      <c r="S129" s="123"/>
      <c r="T129" s="123"/>
      <c r="U129" s="123"/>
      <c r="V129" s="200"/>
      <c r="W129" s="123"/>
      <c r="X129" s="123"/>
      <c r="Y129" s="123"/>
    </row>
    <row r="130" spans="1:25" x14ac:dyDescent="0.25">
      <c r="B130" s="52" t="s">
        <v>71</v>
      </c>
      <c r="C130" s="53">
        <f>SUM(C114:C127)</f>
        <v>2280</v>
      </c>
      <c r="D130" s="54"/>
      <c r="E130" s="23"/>
      <c r="F130" s="200"/>
      <c r="G130" s="123"/>
      <c r="H130" s="123"/>
      <c r="I130" s="123"/>
      <c r="J130" s="200"/>
      <c r="K130" s="123"/>
      <c r="L130" s="123"/>
      <c r="M130" s="123"/>
      <c r="N130" s="200"/>
      <c r="O130" s="123"/>
      <c r="P130" s="123"/>
      <c r="Q130" s="123"/>
      <c r="R130" s="200"/>
      <c r="S130" s="123"/>
      <c r="T130" s="123"/>
      <c r="U130" s="123"/>
      <c r="V130" s="200"/>
      <c r="W130" s="123"/>
      <c r="X130" s="123"/>
      <c r="Y130" s="123"/>
    </row>
    <row r="131" spans="1:25" x14ac:dyDescent="0.25">
      <c r="B131" s="55" t="s">
        <v>72</v>
      </c>
      <c r="C131" s="56"/>
      <c r="D131" s="57"/>
      <c r="E131" s="58">
        <f>SUM(E114:E127)</f>
        <v>13904.066548743602</v>
      </c>
      <c r="F131" s="200"/>
      <c r="G131" s="202"/>
      <c r="H131" s="202"/>
      <c r="I131" s="202"/>
      <c r="J131" s="200"/>
      <c r="K131" s="202"/>
      <c r="L131" s="202"/>
      <c r="M131" s="202"/>
      <c r="N131" s="200"/>
      <c r="O131" s="202"/>
      <c r="P131" s="202"/>
      <c r="Q131" s="202"/>
      <c r="R131" s="200"/>
      <c r="S131" s="202"/>
      <c r="T131" s="202"/>
      <c r="U131" s="202"/>
      <c r="V131" s="200"/>
      <c r="W131" s="202"/>
      <c r="X131" s="202"/>
      <c r="Y131" s="202"/>
    </row>
    <row r="132" spans="1:25" ht="26.25" x14ac:dyDescent="0.25">
      <c r="B132" s="59" t="s">
        <v>73</v>
      </c>
      <c r="C132" s="60"/>
      <c r="D132" s="12"/>
      <c r="E132" s="61">
        <f>(E131/C130)*1000</f>
        <v>6098.2748020805275</v>
      </c>
      <c r="F132" s="200"/>
      <c r="G132" s="202"/>
      <c r="H132" s="202"/>
      <c r="I132" s="202"/>
      <c r="J132" s="200"/>
      <c r="K132" s="202"/>
      <c r="L132" s="202"/>
      <c r="M132" s="202"/>
      <c r="N132" s="200"/>
      <c r="O132" s="202"/>
      <c r="P132" s="202"/>
      <c r="Q132" s="202"/>
      <c r="R132" s="200"/>
      <c r="S132" s="202"/>
      <c r="T132" s="202"/>
      <c r="U132" s="202"/>
      <c r="V132" s="200"/>
      <c r="W132" s="202"/>
      <c r="X132" s="202"/>
      <c r="Y132" s="202"/>
    </row>
    <row r="133" spans="1:25" x14ac:dyDescent="0.25"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</row>
    <row r="134" spans="1:25" x14ac:dyDescent="0.25">
      <c r="F134" s="82"/>
      <c r="G134" s="123"/>
      <c r="H134" s="123"/>
      <c r="I134" s="123"/>
      <c r="J134" s="82"/>
      <c r="K134" s="123"/>
      <c r="L134" s="123"/>
      <c r="M134" s="123"/>
      <c r="N134" s="82"/>
      <c r="O134" s="123"/>
      <c r="P134" s="123"/>
      <c r="Q134" s="123"/>
      <c r="R134" s="82"/>
      <c r="S134" s="123"/>
      <c r="T134" s="123"/>
      <c r="U134" s="123"/>
      <c r="V134" s="82"/>
      <c r="W134" s="123"/>
      <c r="X134" s="123"/>
      <c r="Y134" s="123"/>
    </row>
    <row r="136" spans="1:25" ht="15" customHeight="1" x14ac:dyDescent="0.25">
      <c r="A136" s="176" t="s">
        <v>59</v>
      </c>
      <c r="B136" s="176"/>
      <c r="C136" s="194" t="s">
        <v>148</v>
      </c>
      <c r="D136" s="195"/>
      <c r="E136" s="196"/>
      <c r="F136" s="190"/>
      <c r="G136" s="194" t="s">
        <v>147</v>
      </c>
      <c r="H136" s="195"/>
      <c r="I136" s="196"/>
      <c r="J136" s="190"/>
      <c r="K136" s="194" t="s">
        <v>149</v>
      </c>
      <c r="L136" s="195"/>
      <c r="M136" s="196"/>
      <c r="N136" s="190"/>
      <c r="O136" s="194" t="s">
        <v>150</v>
      </c>
      <c r="P136" s="195"/>
      <c r="Q136" s="196"/>
      <c r="R136" s="190"/>
      <c r="S136" s="194" t="s">
        <v>151</v>
      </c>
      <c r="T136" s="195"/>
      <c r="U136" s="196"/>
    </row>
    <row r="137" spans="1:25" x14ac:dyDescent="0.25">
      <c r="A137" s="176"/>
      <c r="B137" s="176"/>
      <c r="C137" s="197"/>
      <c r="D137" s="198"/>
      <c r="E137" s="199"/>
      <c r="F137" s="191"/>
      <c r="G137" s="197"/>
      <c r="H137" s="198"/>
      <c r="I137" s="199"/>
      <c r="J137" s="191"/>
      <c r="K137" s="197"/>
      <c r="L137" s="198"/>
      <c r="M137" s="199"/>
      <c r="N137" s="191"/>
      <c r="O137" s="197"/>
      <c r="P137" s="198"/>
      <c r="Q137" s="199"/>
      <c r="R137" s="191"/>
      <c r="S137" s="197"/>
      <c r="T137" s="198"/>
      <c r="U137" s="199"/>
    </row>
    <row r="138" spans="1:25" ht="45" x14ac:dyDescent="0.25">
      <c r="A138" s="5"/>
      <c r="B138" s="5" t="s">
        <v>19</v>
      </c>
      <c r="C138" s="77" t="s">
        <v>53</v>
      </c>
      <c r="D138" s="77" t="s">
        <v>54</v>
      </c>
      <c r="E138" s="77" t="s">
        <v>55</v>
      </c>
      <c r="F138" s="191"/>
      <c r="G138" s="77" t="s">
        <v>53</v>
      </c>
      <c r="H138" s="77" t="s">
        <v>54</v>
      </c>
      <c r="I138" s="77" t="s">
        <v>55</v>
      </c>
      <c r="J138" s="191"/>
      <c r="K138" s="77" t="s">
        <v>53</v>
      </c>
      <c r="L138" s="77" t="s">
        <v>54</v>
      </c>
      <c r="M138" s="77" t="s">
        <v>55</v>
      </c>
      <c r="N138" s="191"/>
      <c r="O138" s="77" t="s">
        <v>53</v>
      </c>
      <c r="P138" s="77" t="s">
        <v>54</v>
      </c>
      <c r="Q138" s="77" t="s">
        <v>55</v>
      </c>
      <c r="R138" s="191"/>
      <c r="S138" s="77" t="s">
        <v>53</v>
      </c>
      <c r="T138" s="77" t="s">
        <v>54</v>
      </c>
      <c r="U138" s="77" t="s">
        <v>55</v>
      </c>
    </row>
    <row r="139" spans="1:25" x14ac:dyDescent="0.25">
      <c r="A139" s="5">
        <v>1</v>
      </c>
      <c r="B139" s="5" t="s">
        <v>23</v>
      </c>
      <c r="C139" s="78">
        <v>288</v>
      </c>
      <c r="D139" s="116">
        <v>4.2907539999999997</v>
      </c>
      <c r="E139" s="77">
        <f>C139*D139</f>
        <v>1235.7371519999999</v>
      </c>
      <c r="F139" s="191"/>
      <c r="G139" s="78">
        <v>288</v>
      </c>
      <c r="H139" s="116">
        <v>4.2974459999999999</v>
      </c>
      <c r="I139" s="77">
        <f>G139*H139</f>
        <v>1237.664448</v>
      </c>
      <c r="J139" s="191"/>
      <c r="K139" s="78">
        <v>292</v>
      </c>
      <c r="L139" s="78">
        <v>4.2401330000000002</v>
      </c>
      <c r="M139" s="77">
        <f>K139*L139</f>
        <v>1238.1188360000001</v>
      </c>
      <c r="N139" s="191"/>
      <c r="O139" s="78">
        <v>304</v>
      </c>
      <c r="P139" s="78">
        <v>4.1890790000000004</v>
      </c>
      <c r="Q139" s="77">
        <f>O139*P139</f>
        <v>1273.4800160000002</v>
      </c>
      <c r="R139" s="191"/>
      <c r="S139" s="78">
        <v>291</v>
      </c>
      <c r="T139" s="116">
        <v>4.193975</v>
      </c>
      <c r="U139" s="77">
        <f>S139*T139</f>
        <v>1220.446725</v>
      </c>
    </row>
    <row r="140" spans="1:25" x14ac:dyDescent="0.25">
      <c r="A140" s="5">
        <v>2</v>
      </c>
      <c r="B140" s="5" t="s">
        <v>24</v>
      </c>
      <c r="C140" s="78">
        <v>125</v>
      </c>
      <c r="D140" s="78">
        <v>5.0720210000000003</v>
      </c>
      <c r="E140" s="77">
        <f t="shared" ref="E140:E152" si="28">C140*D140</f>
        <v>634.00262500000008</v>
      </c>
      <c r="F140" s="191"/>
      <c r="G140" s="78">
        <v>123</v>
      </c>
      <c r="H140" s="78">
        <v>5.215376</v>
      </c>
      <c r="I140" s="77">
        <f t="shared" ref="I140:I152" si="29">G140*H140</f>
        <v>641.49124800000004</v>
      </c>
      <c r="J140" s="191"/>
      <c r="K140" s="78">
        <v>126</v>
      </c>
      <c r="L140" s="78">
        <v>6.4310710000000002</v>
      </c>
      <c r="M140" s="77">
        <f t="shared" ref="M140:M152" si="30">K140*L140</f>
        <v>810.31494600000008</v>
      </c>
      <c r="N140" s="191"/>
      <c r="O140" s="78">
        <v>123</v>
      </c>
      <c r="P140" s="78">
        <v>6.786092</v>
      </c>
      <c r="Q140" s="77">
        <f t="shared" ref="Q140:Q152" si="31">O140*P140</f>
        <v>834.68931599999996</v>
      </c>
      <c r="R140" s="191"/>
      <c r="S140" s="78">
        <v>129</v>
      </c>
      <c r="T140" s="78">
        <v>7.5296250000000002</v>
      </c>
      <c r="U140" s="77">
        <f t="shared" ref="U140:U152" si="32">S140*T140</f>
        <v>971.32162500000004</v>
      </c>
    </row>
    <row r="141" spans="1:25" x14ac:dyDescent="0.25">
      <c r="A141" s="95">
        <v>3</v>
      </c>
      <c r="B141" s="95" t="s">
        <v>25</v>
      </c>
      <c r="C141" s="96">
        <v>367</v>
      </c>
      <c r="D141" s="96">
        <v>9.9924160000000004</v>
      </c>
      <c r="E141" s="77">
        <f t="shared" si="28"/>
        <v>3667.216672</v>
      </c>
      <c r="F141" s="191"/>
      <c r="G141" s="96">
        <v>366</v>
      </c>
      <c r="H141" s="96">
        <v>10.891667</v>
      </c>
      <c r="I141" s="77">
        <f t="shared" si="29"/>
        <v>3986.3501219999998</v>
      </c>
      <c r="J141" s="191"/>
      <c r="K141" s="96">
        <v>369</v>
      </c>
      <c r="L141" s="96">
        <v>20.68402</v>
      </c>
      <c r="M141" s="77">
        <f t="shared" si="30"/>
        <v>7632.4033799999997</v>
      </c>
      <c r="N141" s="191"/>
      <c r="O141" s="96">
        <v>364</v>
      </c>
      <c r="P141" s="96">
        <v>21.701035000000001</v>
      </c>
      <c r="Q141" s="77">
        <f t="shared" si="31"/>
        <v>7899.1767400000008</v>
      </c>
      <c r="R141" s="191"/>
      <c r="S141" s="96">
        <v>362</v>
      </c>
      <c r="T141" s="96">
        <v>26.430906</v>
      </c>
      <c r="U141" s="77">
        <f t="shared" si="32"/>
        <v>9567.9879720000008</v>
      </c>
    </row>
    <row r="142" spans="1:25" x14ac:dyDescent="0.25">
      <c r="A142" s="118">
        <v>4</v>
      </c>
      <c r="B142" s="118" t="s">
        <v>26</v>
      </c>
      <c r="C142" s="119">
        <v>151</v>
      </c>
      <c r="D142" s="119">
        <v>4.6624080000000001</v>
      </c>
      <c r="E142" s="77">
        <f t="shared" si="28"/>
        <v>704.02360799999997</v>
      </c>
      <c r="F142" s="191"/>
      <c r="G142" s="119">
        <v>151</v>
      </c>
      <c r="H142" s="119">
        <v>4.8717920000000001</v>
      </c>
      <c r="I142" s="77">
        <f t="shared" si="29"/>
        <v>735.64059199999997</v>
      </c>
      <c r="J142" s="191"/>
      <c r="K142" s="119">
        <v>150</v>
      </c>
      <c r="L142" s="119">
        <v>6.0001490000000004</v>
      </c>
      <c r="M142" s="77">
        <f t="shared" si="30"/>
        <v>900.02235000000007</v>
      </c>
      <c r="N142" s="191"/>
      <c r="O142" s="119">
        <v>152</v>
      </c>
      <c r="P142" s="119">
        <v>6.2603419999999996</v>
      </c>
      <c r="Q142" s="77">
        <f t="shared" si="31"/>
        <v>951.57198399999993</v>
      </c>
      <c r="R142" s="191"/>
      <c r="S142" s="119">
        <v>153</v>
      </c>
      <c r="T142" s="119">
        <v>6.3504449999999997</v>
      </c>
      <c r="U142" s="77">
        <f t="shared" si="32"/>
        <v>971.61808499999995</v>
      </c>
    </row>
    <row r="143" spans="1:25" x14ac:dyDescent="0.25">
      <c r="A143" s="5">
        <v>5</v>
      </c>
      <c r="B143" s="5" t="s">
        <v>27</v>
      </c>
      <c r="C143" s="78">
        <v>134</v>
      </c>
      <c r="D143" s="78">
        <v>7.3213929999999996</v>
      </c>
      <c r="E143" s="77">
        <f t="shared" si="28"/>
        <v>981.06666199999995</v>
      </c>
      <c r="F143" s="191"/>
      <c r="G143" s="78">
        <v>151</v>
      </c>
      <c r="H143" s="78">
        <v>7.3037089999999996</v>
      </c>
      <c r="I143" s="77">
        <f t="shared" si="29"/>
        <v>1102.8600589999999</v>
      </c>
      <c r="J143" s="191"/>
      <c r="K143" s="78">
        <v>150</v>
      </c>
      <c r="L143" s="116">
        <v>7.2419909999999996</v>
      </c>
      <c r="M143" s="77">
        <f t="shared" si="30"/>
        <v>1086.29865</v>
      </c>
      <c r="N143" s="191"/>
      <c r="O143" s="78">
        <v>155</v>
      </c>
      <c r="P143" s="78">
        <v>7.2916350000000003</v>
      </c>
      <c r="Q143" s="77">
        <f t="shared" si="31"/>
        <v>1130.2034250000002</v>
      </c>
      <c r="R143" s="191"/>
      <c r="S143" s="78">
        <v>150</v>
      </c>
      <c r="T143" s="78">
        <v>7.2742040000000001</v>
      </c>
      <c r="U143" s="77">
        <f t="shared" si="32"/>
        <v>1091.1306</v>
      </c>
    </row>
    <row r="144" spans="1:25" x14ac:dyDescent="0.25">
      <c r="A144" s="118">
        <v>6</v>
      </c>
      <c r="B144" s="118" t="s">
        <v>28</v>
      </c>
      <c r="C144" s="119">
        <v>125</v>
      </c>
      <c r="D144" s="119">
        <v>5.5225080000000002</v>
      </c>
      <c r="E144" s="77">
        <f t="shared" si="28"/>
        <v>690.31349999999998</v>
      </c>
      <c r="F144" s="191"/>
      <c r="G144" s="119">
        <v>129</v>
      </c>
      <c r="H144" s="119">
        <v>5.804208</v>
      </c>
      <c r="I144" s="77">
        <f t="shared" si="29"/>
        <v>748.74283200000002</v>
      </c>
      <c r="J144" s="191"/>
      <c r="K144" s="119">
        <v>122</v>
      </c>
      <c r="L144" s="119">
        <v>7.2875969999999999</v>
      </c>
      <c r="M144" s="77">
        <f t="shared" si="30"/>
        <v>889.08683399999995</v>
      </c>
      <c r="N144" s="191"/>
      <c r="O144" s="119">
        <v>123</v>
      </c>
      <c r="P144" s="119">
        <v>7.6436359999999999</v>
      </c>
      <c r="Q144" s="77">
        <f t="shared" si="31"/>
        <v>940.16722800000002</v>
      </c>
      <c r="R144" s="191"/>
      <c r="S144" s="119">
        <v>129</v>
      </c>
      <c r="T144" s="119">
        <v>8.7728249999999992</v>
      </c>
      <c r="U144" s="77">
        <f t="shared" si="32"/>
        <v>1131.6944249999999</v>
      </c>
    </row>
    <row r="145" spans="1:21" x14ac:dyDescent="0.25">
      <c r="A145" s="95">
        <v>7</v>
      </c>
      <c r="B145" s="95" t="s">
        <v>25</v>
      </c>
      <c r="C145" s="96">
        <v>367</v>
      </c>
      <c r="D145" s="96">
        <v>10.069741</v>
      </c>
      <c r="E145" s="77">
        <f t="shared" si="28"/>
        <v>3695.594947</v>
      </c>
      <c r="F145" s="191"/>
      <c r="G145" s="96">
        <v>363</v>
      </c>
      <c r="H145" s="117">
        <v>11.00081</v>
      </c>
      <c r="I145" s="77">
        <f t="shared" si="29"/>
        <v>3993.29403</v>
      </c>
      <c r="J145" s="191"/>
      <c r="K145" s="96">
        <v>369</v>
      </c>
      <c r="L145" s="117">
        <v>20.536657000000002</v>
      </c>
      <c r="M145" s="77">
        <f t="shared" si="30"/>
        <v>7578.0264330000009</v>
      </c>
      <c r="N145" s="191"/>
      <c r="O145" s="96">
        <v>367</v>
      </c>
      <c r="P145" s="96">
        <v>21.3948</v>
      </c>
      <c r="Q145" s="77">
        <f t="shared" si="31"/>
        <v>7851.8915999999999</v>
      </c>
      <c r="R145" s="191"/>
      <c r="S145" s="96">
        <v>365</v>
      </c>
      <c r="T145" s="96">
        <v>26.054382</v>
      </c>
      <c r="U145" s="77">
        <f t="shared" si="32"/>
        <v>9509.8494300000002</v>
      </c>
    </row>
    <row r="146" spans="1:21" x14ac:dyDescent="0.25">
      <c r="A146" s="118">
        <v>8</v>
      </c>
      <c r="B146" s="118" t="s">
        <v>26</v>
      </c>
      <c r="C146" s="119">
        <v>148</v>
      </c>
      <c r="D146" s="119">
        <v>4.7183570000000001</v>
      </c>
      <c r="E146" s="77">
        <f t="shared" si="28"/>
        <v>698.31683599999997</v>
      </c>
      <c r="F146" s="191"/>
      <c r="G146" s="119">
        <v>151</v>
      </c>
      <c r="H146" s="119">
        <v>4.817539</v>
      </c>
      <c r="I146" s="77">
        <f t="shared" si="29"/>
        <v>727.44838900000002</v>
      </c>
      <c r="J146" s="191"/>
      <c r="K146" s="119">
        <v>150</v>
      </c>
      <c r="L146" s="119">
        <v>5.6194730000000002</v>
      </c>
      <c r="M146" s="77">
        <f t="shared" si="30"/>
        <v>842.92095000000006</v>
      </c>
      <c r="N146" s="191"/>
      <c r="O146" s="119">
        <v>152</v>
      </c>
      <c r="P146" s="119">
        <v>5.9919460000000004</v>
      </c>
      <c r="Q146" s="77">
        <f t="shared" si="31"/>
        <v>910.77579200000002</v>
      </c>
      <c r="R146" s="191"/>
      <c r="S146" s="119">
        <v>150</v>
      </c>
      <c r="T146" s="119">
        <v>6.5027869999999997</v>
      </c>
      <c r="U146" s="77">
        <f t="shared" si="32"/>
        <v>975.41804999999999</v>
      </c>
    </row>
    <row r="147" spans="1:21" x14ac:dyDescent="0.25">
      <c r="A147" s="5">
        <v>9</v>
      </c>
      <c r="B147" s="5" t="s">
        <v>27</v>
      </c>
      <c r="C147" s="78">
        <v>147</v>
      </c>
      <c r="D147" s="78">
        <v>7.377624</v>
      </c>
      <c r="E147" s="77">
        <f t="shared" si="28"/>
        <v>1084.510728</v>
      </c>
      <c r="F147" s="191"/>
      <c r="G147" s="78">
        <v>145</v>
      </c>
      <c r="H147" s="78">
        <v>7.3352389999999996</v>
      </c>
      <c r="I147" s="77">
        <f t="shared" si="29"/>
        <v>1063.609655</v>
      </c>
      <c r="J147" s="191"/>
      <c r="K147" s="78">
        <v>144</v>
      </c>
      <c r="L147" s="78">
        <v>7.4417289999999996</v>
      </c>
      <c r="M147" s="77">
        <f t="shared" si="30"/>
        <v>1071.608976</v>
      </c>
      <c r="N147" s="191"/>
      <c r="O147" s="78">
        <v>146</v>
      </c>
      <c r="P147" s="78">
        <v>7.7312050000000001</v>
      </c>
      <c r="Q147" s="77">
        <f t="shared" si="31"/>
        <v>1128.75593</v>
      </c>
      <c r="R147" s="191"/>
      <c r="S147" s="78">
        <v>150</v>
      </c>
      <c r="T147" s="78">
        <v>7.3038740000000004</v>
      </c>
      <c r="U147" s="77">
        <f>S147*T147</f>
        <v>1095.5811000000001</v>
      </c>
    </row>
    <row r="148" spans="1:21" x14ac:dyDescent="0.25">
      <c r="A148" s="118">
        <v>10</v>
      </c>
      <c r="B148" s="118" t="s">
        <v>28</v>
      </c>
      <c r="C148" s="119">
        <v>125</v>
      </c>
      <c r="D148" s="119">
        <v>5.2978509999999996</v>
      </c>
      <c r="E148" s="77">
        <f t="shared" si="28"/>
        <v>662.23137499999996</v>
      </c>
      <c r="F148" s="191"/>
      <c r="G148" s="119">
        <v>123</v>
      </c>
      <c r="H148" s="119">
        <v>5.6052619999999997</v>
      </c>
      <c r="I148" s="77">
        <f t="shared" si="29"/>
        <v>689.447226</v>
      </c>
      <c r="J148" s="191"/>
      <c r="K148" s="119">
        <v>122</v>
      </c>
      <c r="L148" s="119">
        <v>6.9000240000000002</v>
      </c>
      <c r="M148" s="77">
        <f t="shared" si="30"/>
        <v>841.80292800000007</v>
      </c>
      <c r="N148" s="191"/>
      <c r="O148" s="119">
        <v>123</v>
      </c>
      <c r="P148" s="119">
        <v>6.9712319999999997</v>
      </c>
      <c r="Q148" s="77">
        <f t="shared" si="31"/>
        <v>857.46153599999991</v>
      </c>
      <c r="R148" s="191"/>
      <c r="S148" s="119">
        <v>129</v>
      </c>
      <c r="T148" s="119">
        <v>7.8612109999999999</v>
      </c>
      <c r="U148" s="77">
        <f t="shared" si="32"/>
        <v>1014.096219</v>
      </c>
    </row>
    <row r="149" spans="1:21" x14ac:dyDescent="0.25">
      <c r="A149" s="95">
        <v>11</v>
      </c>
      <c r="B149" s="95" t="s">
        <v>25</v>
      </c>
      <c r="C149" s="96">
        <v>371</v>
      </c>
      <c r="D149" s="96">
        <v>9.9587649999999996</v>
      </c>
      <c r="E149" s="77">
        <f t="shared" si="28"/>
        <v>3694.7018149999999</v>
      </c>
      <c r="F149" s="191"/>
      <c r="G149" s="96">
        <v>366</v>
      </c>
      <c r="H149" s="117">
        <v>10.754973</v>
      </c>
      <c r="I149" s="77">
        <f t="shared" si="29"/>
        <v>3936.3201180000001</v>
      </c>
      <c r="J149" s="191"/>
      <c r="K149" s="96">
        <v>366</v>
      </c>
      <c r="L149" s="96">
        <v>20.180271000000001</v>
      </c>
      <c r="M149" s="77">
        <f t="shared" si="30"/>
        <v>7385.9791860000005</v>
      </c>
      <c r="N149" s="191"/>
      <c r="O149" s="96">
        <v>367</v>
      </c>
      <c r="P149" s="96">
        <v>20.996162999999999</v>
      </c>
      <c r="Q149" s="77">
        <f t="shared" si="31"/>
        <v>7705.591821</v>
      </c>
      <c r="R149" s="191"/>
      <c r="S149" s="96">
        <v>362</v>
      </c>
      <c r="T149" s="96">
        <v>25.092230000000001</v>
      </c>
      <c r="U149" s="77">
        <f t="shared" si="32"/>
        <v>9083.3872599999995</v>
      </c>
    </row>
    <row r="150" spans="1:21" x14ac:dyDescent="0.25">
      <c r="A150" s="118">
        <v>12</v>
      </c>
      <c r="B150" s="118" t="s">
        <v>26</v>
      </c>
      <c r="C150" s="119">
        <v>150</v>
      </c>
      <c r="D150" s="119">
        <v>4.6268039999999999</v>
      </c>
      <c r="E150" s="77">
        <f t="shared" si="28"/>
        <v>694.02059999999994</v>
      </c>
      <c r="F150" s="191"/>
      <c r="G150" s="119">
        <v>151</v>
      </c>
      <c r="H150" s="119">
        <v>4.8785740000000004</v>
      </c>
      <c r="I150" s="77">
        <f t="shared" si="29"/>
        <v>736.6646740000001</v>
      </c>
      <c r="J150" s="191"/>
      <c r="K150" s="119">
        <v>150</v>
      </c>
      <c r="L150" s="119">
        <v>5.8525929999999997</v>
      </c>
      <c r="M150" s="77">
        <f t="shared" si="30"/>
        <v>877.88894999999991</v>
      </c>
      <c r="N150" s="191"/>
      <c r="O150" s="119">
        <v>152</v>
      </c>
      <c r="P150" s="119">
        <v>5.8713519999999999</v>
      </c>
      <c r="Q150" s="77">
        <f t="shared" si="31"/>
        <v>892.44550400000003</v>
      </c>
      <c r="R150" s="191"/>
      <c r="S150" s="119">
        <v>150</v>
      </c>
      <c r="T150" s="119">
        <v>6.6833489999999998</v>
      </c>
      <c r="U150" s="77">
        <f t="shared" si="32"/>
        <v>1002.50235</v>
      </c>
    </row>
    <row r="151" spans="1:21" x14ac:dyDescent="0.25">
      <c r="A151" s="5">
        <v>13</v>
      </c>
      <c r="B151" s="5" t="s">
        <v>27</v>
      </c>
      <c r="C151" s="78">
        <v>161</v>
      </c>
      <c r="D151" s="78">
        <v>7.2987869999999999</v>
      </c>
      <c r="E151" s="77">
        <f t="shared" si="28"/>
        <v>1175.104707</v>
      </c>
      <c r="F151" s="191"/>
      <c r="G151" s="78">
        <v>159</v>
      </c>
      <c r="H151" s="78">
        <v>7.3345500000000001</v>
      </c>
      <c r="I151" s="77">
        <f t="shared" si="29"/>
        <v>1166.19345</v>
      </c>
      <c r="J151" s="191"/>
      <c r="K151" s="78">
        <v>153</v>
      </c>
      <c r="L151" s="78">
        <v>7.3086320000000002</v>
      </c>
      <c r="M151" s="77">
        <f t="shared" si="30"/>
        <v>1118.2206960000001</v>
      </c>
      <c r="N151" s="191"/>
      <c r="O151" s="78">
        <v>158</v>
      </c>
      <c r="P151" s="78">
        <v>7.3316020000000002</v>
      </c>
      <c r="Q151" s="77">
        <f t="shared" si="31"/>
        <v>1158.393116</v>
      </c>
      <c r="R151" s="191"/>
      <c r="S151" s="78">
        <v>162</v>
      </c>
      <c r="T151" s="78">
        <v>7.4768059999999998</v>
      </c>
      <c r="U151" s="77">
        <f t="shared" si="32"/>
        <v>1211.2425719999999</v>
      </c>
    </row>
    <row r="152" spans="1:21" x14ac:dyDescent="0.25">
      <c r="A152" s="5">
        <v>14</v>
      </c>
      <c r="B152" s="5" t="s">
        <v>29</v>
      </c>
      <c r="C152" s="78">
        <v>209</v>
      </c>
      <c r="D152" s="78">
        <v>4.260351</v>
      </c>
      <c r="E152" s="77">
        <f t="shared" si="28"/>
        <v>890.41335900000001</v>
      </c>
      <c r="F152" s="191"/>
      <c r="G152" s="78">
        <v>212</v>
      </c>
      <c r="H152" s="78">
        <v>4.4617170000000002</v>
      </c>
      <c r="I152" s="77">
        <f t="shared" si="29"/>
        <v>945.884004</v>
      </c>
      <c r="J152" s="191"/>
      <c r="K152" s="78">
        <v>209</v>
      </c>
      <c r="L152" s="78">
        <v>4.6563530000000002</v>
      </c>
      <c r="M152" s="77">
        <f t="shared" si="30"/>
        <v>973.17777699999999</v>
      </c>
      <c r="N152" s="191"/>
      <c r="O152" s="78">
        <v>206</v>
      </c>
      <c r="P152" s="78">
        <v>4.4819659999999999</v>
      </c>
      <c r="Q152" s="77">
        <f t="shared" si="31"/>
        <v>923.28499599999998</v>
      </c>
      <c r="R152" s="191"/>
      <c r="S152" s="78">
        <v>207</v>
      </c>
      <c r="T152" s="78">
        <v>4.5410399999999997</v>
      </c>
      <c r="U152" s="77">
        <f t="shared" si="32"/>
        <v>939.99527999999998</v>
      </c>
    </row>
    <row r="153" spans="1:21" x14ac:dyDescent="0.25">
      <c r="A153" s="5">
        <v>15</v>
      </c>
      <c r="B153" s="5" t="s">
        <v>60</v>
      </c>
      <c r="C153" s="78"/>
      <c r="D153" s="78"/>
      <c r="E153" s="77"/>
      <c r="F153" s="191"/>
      <c r="G153" s="78"/>
      <c r="H153" s="78"/>
      <c r="I153" s="77"/>
      <c r="J153" s="191"/>
      <c r="K153" s="78"/>
      <c r="L153" s="78"/>
      <c r="M153" s="77"/>
      <c r="N153" s="191"/>
      <c r="O153" s="78"/>
      <c r="P153" s="78"/>
      <c r="Q153" s="77"/>
      <c r="R153" s="191"/>
      <c r="S153" s="78"/>
      <c r="T153" s="78"/>
      <c r="U153" s="77"/>
    </row>
    <row r="154" spans="1:21" x14ac:dyDescent="0.25">
      <c r="A154" s="79"/>
      <c r="B154" s="5" t="s">
        <v>56</v>
      </c>
      <c r="C154" s="173">
        <f>SUM(C139:C153)</f>
        <v>2868</v>
      </c>
      <c r="D154" s="174"/>
      <c r="E154" s="175"/>
      <c r="F154" s="191"/>
      <c r="G154" s="184">
        <f>SUM(G139:G152)</f>
        <v>2878</v>
      </c>
      <c r="H154" s="185"/>
      <c r="I154" s="186"/>
      <c r="J154" s="191"/>
      <c r="K154" s="184">
        <f>SUM(K139:K152)</f>
        <v>2872</v>
      </c>
      <c r="L154" s="185"/>
      <c r="M154" s="186"/>
      <c r="N154" s="191"/>
      <c r="O154" s="184">
        <f>SUM(O139:O152)</f>
        <v>2892</v>
      </c>
      <c r="P154" s="185"/>
      <c r="Q154" s="186"/>
      <c r="R154" s="191"/>
      <c r="S154" s="184">
        <f>SUM(S139:S152)</f>
        <v>2889</v>
      </c>
      <c r="T154" s="185"/>
      <c r="U154" s="186"/>
    </row>
    <row r="155" spans="1:21" x14ac:dyDescent="0.25">
      <c r="A155" s="79"/>
      <c r="B155" s="5" t="s">
        <v>57</v>
      </c>
      <c r="C155" s="173">
        <f>SUM(E139:E152)/C154</f>
        <v>7.1503677078103189</v>
      </c>
      <c r="D155" s="174"/>
      <c r="E155" s="175"/>
      <c r="F155" s="192"/>
      <c r="G155" s="184">
        <f>SUM(I139:I152)/G154</f>
        <v>7.5439926501042391</v>
      </c>
      <c r="H155" s="185"/>
      <c r="I155" s="186"/>
      <c r="J155" s="192"/>
      <c r="K155" s="184">
        <f>SUM(M139:M152)/K154</f>
        <v>11.57586033844011</v>
      </c>
      <c r="L155" s="185"/>
      <c r="M155" s="186"/>
      <c r="N155" s="192"/>
      <c r="O155" s="184">
        <f>SUM(Q139:Q152)/O154</f>
        <v>11.914899378976488</v>
      </c>
      <c r="P155" s="185"/>
      <c r="Q155" s="186"/>
      <c r="R155" s="192"/>
      <c r="S155" s="184">
        <f>SUM(U139:U152)/S154</f>
        <v>13.771641292142613</v>
      </c>
      <c r="T155" s="185"/>
      <c r="U155" s="186"/>
    </row>
    <row r="156" spans="1:21" x14ac:dyDescent="0.25">
      <c r="D156" t="s">
        <v>61</v>
      </c>
      <c r="E156" t="s">
        <v>62</v>
      </c>
      <c r="H156" t="s">
        <v>61</v>
      </c>
      <c r="I156" t="s">
        <v>62</v>
      </c>
      <c r="L156" t="s">
        <v>61</v>
      </c>
      <c r="M156" t="s">
        <v>62</v>
      </c>
      <c r="P156" t="s">
        <v>61</v>
      </c>
      <c r="Q156" t="s">
        <v>62</v>
      </c>
      <c r="T156" t="s">
        <v>61</v>
      </c>
      <c r="U156" t="s">
        <v>62</v>
      </c>
    </row>
    <row r="157" spans="1:21" x14ac:dyDescent="0.25">
      <c r="B157" s="5" t="s">
        <v>60</v>
      </c>
      <c r="C157" s="78">
        <v>19145</v>
      </c>
      <c r="D157" s="78">
        <v>0.27974399999999999</v>
      </c>
      <c r="E157" s="77">
        <v>2.1819999999999999E-3</v>
      </c>
      <c r="G157" s="78">
        <v>19136</v>
      </c>
      <c r="H157" s="78">
        <v>0.25431300000000001</v>
      </c>
      <c r="I157" s="77">
        <v>-1.56E-4</v>
      </c>
      <c r="K157" s="78">
        <v>19216</v>
      </c>
      <c r="L157" s="78">
        <v>0.25431300000000001</v>
      </c>
      <c r="M157" s="78">
        <v>-4.1590000000000004E-3</v>
      </c>
      <c r="O157" s="78">
        <v>27141</v>
      </c>
      <c r="P157" s="78">
        <v>0.27974399999999999</v>
      </c>
      <c r="Q157" s="77">
        <v>-2.398E-3</v>
      </c>
      <c r="S157" s="78">
        <v>25128</v>
      </c>
      <c r="T157" s="78">
        <v>0.305176</v>
      </c>
      <c r="U157" s="77">
        <v>7.1650000000000004E-3</v>
      </c>
    </row>
  </sheetData>
  <mergeCells count="135">
    <mergeCell ref="K155:M155"/>
    <mergeCell ref="O155:Q155"/>
    <mergeCell ref="S155:U155"/>
    <mergeCell ref="A136:B137"/>
    <mergeCell ref="C136:E137"/>
    <mergeCell ref="F136:F155"/>
    <mergeCell ref="G136:I137"/>
    <mergeCell ref="J136:J155"/>
    <mergeCell ref="K136:M137"/>
    <mergeCell ref="N136:N155"/>
    <mergeCell ref="O136:Q137"/>
    <mergeCell ref="R136:R155"/>
    <mergeCell ref="S136:U137"/>
    <mergeCell ref="C154:E154"/>
    <mergeCell ref="G154:I154"/>
    <mergeCell ref="K154:M154"/>
    <mergeCell ref="O154:Q154"/>
    <mergeCell ref="S154:U154"/>
    <mergeCell ref="C155:E155"/>
    <mergeCell ref="G155:I155"/>
    <mergeCell ref="S85:U86"/>
    <mergeCell ref="S103:U103"/>
    <mergeCell ref="S104:U104"/>
    <mergeCell ref="A57:B58"/>
    <mergeCell ref="C57:E58"/>
    <mergeCell ref="F57:F76"/>
    <mergeCell ref="G57:I58"/>
    <mergeCell ref="J57:J76"/>
    <mergeCell ref="K57:M58"/>
    <mergeCell ref="K75:M75"/>
    <mergeCell ref="C76:E76"/>
    <mergeCell ref="G76:I76"/>
    <mergeCell ref="K76:M76"/>
    <mergeCell ref="G104:I104"/>
    <mergeCell ref="K104:M104"/>
    <mergeCell ref="K85:M86"/>
    <mergeCell ref="N85:N104"/>
    <mergeCell ref="R85:R104"/>
    <mergeCell ref="O85:Q86"/>
    <mergeCell ref="O103:Q103"/>
    <mergeCell ref="O104:Q104"/>
    <mergeCell ref="G20:I20"/>
    <mergeCell ref="K20:M20"/>
    <mergeCell ref="A28:B29"/>
    <mergeCell ref="C28:E29"/>
    <mergeCell ref="F28:F47"/>
    <mergeCell ref="G28:I29"/>
    <mergeCell ref="J28:J47"/>
    <mergeCell ref="K28:M29"/>
    <mergeCell ref="C46:E46"/>
    <mergeCell ref="G46:I46"/>
    <mergeCell ref="F1:F20"/>
    <mergeCell ref="J1:J20"/>
    <mergeCell ref="C19:E19"/>
    <mergeCell ref="G19:I19"/>
    <mergeCell ref="K19:M19"/>
    <mergeCell ref="C20:E20"/>
    <mergeCell ref="K46:M46"/>
    <mergeCell ref="C47:E47"/>
    <mergeCell ref="G47:I47"/>
    <mergeCell ref="K47:M47"/>
    <mergeCell ref="W75:Y75"/>
    <mergeCell ref="W76:Y76"/>
    <mergeCell ref="W1:Y1"/>
    <mergeCell ref="W2:Y2"/>
    <mergeCell ref="W19:Y19"/>
    <mergeCell ref="W20:Y20"/>
    <mergeCell ref="W57:Y57"/>
    <mergeCell ref="W58:Y58"/>
    <mergeCell ref="A85:B86"/>
    <mergeCell ref="C85:E86"/>
    <mergeCell ref="F85:F104"/>
    <mergeCell ref="G85:I86"/>
    <mergeCell ref="J85:J104"/>
    <mergeCell ref="C103:E103"/>
    <mergeCell ref="G103:I103"/>
    <mergeCell ref="A1:B1"/>
    <mergeCell ref="A2:B2"/>
    <mergeCell ref="K1:M2"/>
    <mergeCell ref="G1:I2"/>
    <mergeCell ref="C1:E2"/>
    <mergeCell ref="K103:M103"/>
    <mergeCell ref="C104:E104"/>
    <mergeCell ref="C75:E75"/>
    <mergeCell ref="G75:I75"/>
    <mergeCell ref="N28:N47"/>
    <mergeCell ref="O28:Q29"/>
    <mergeCell ref="O46:Q46"/>
    <mergeCell ref="O47:Q47"/>
    <mergeCell ref="R28:R47"/>
    <mergeCell ref="S76:U76"/>
    <mergeCell ref="S57:U58"/>
    <mergeCell ref="S1:U2"/>
    <mergeCell ref="O1:Q2"/>
    <mergeCell ref="S19:U19"/>
    <mergeCell ref="S20:U20"/>
    <mergeCell ref="O20:Q20"/>
    <mergeCell ref="S75:U75"/>
    <mergeCell ref="O19:Q19"/>
    <mergeCell ref="O75:Q75"/>
    <mergeCell ref="O76:Q76"/>
    <mergeCell ref="O57:Q58"/>
    <mergeCell ref="S28:U29"/>
    <mergeCell ref="S46:U46"/>
    <mergeCell ref="S47:U47"/>
    <mergeCell ref="AE14:AG14"/>
    <mergeCell ref="AH14:AJ14"/>
    <mergeCell ref="AB66:AD66"/>
    <mergeCell ref="AE66:AG66"/>
    <mergeCell ref="AH66:AJ66"/>
    <mergeCell ref="V28:V47"/>
    <mergeCell ref="W28:Y29"/>
    <mergeCell ref="W46:Y46"/>
    <mergeCell ref="W47:Y47"/>
    <mergeCell ref="AB14:AD14"/>
    <mergeCell ref="F113:F132"/>
    <mergeCell ref="G113:I114"/>
    <mergeCell ref="J113:J132"/>
    <mergeCell ref="K113:M114"/>
    <mergeCell ref="N113:N132"/>
    <mergeCell ref="O113:Q114"/>
    <mergeCell ref="R113:R132"/>
    <mergeCell ref="G132:I132"/>
    <mergeCell ref="K132:M132"/>
    <mergeCell ref="O132:Q132"/>
    <mergeCell ref="S132:U132"/>
    <mergeCell ref="V113:V132"/>
    <mergeCell ref="W113:Y114"/>
    <mergeCell ref="W131:Y131"/>
    <mergeCell ref="W132:Y132"/>
    <mergeCell ref="S113:U114"/>
    <mergeCell ref="G131:I131"/>
    <mergeCell ref="K131:M131"/>
    <mergeCell ref="O131:Q131"/>
    <mergeCell ref="S131:U13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C9423-A3FF-49C6-8496-F830871F8718}">
  <dimension ref="A1:AC154"/>
  <sheetViews>
    <sheetView topLeftCell="T1" workbookViewId="0">
      <selection activeCell="Z17" sqref="Z17"/>
    </sheetView>
  </sheetViews>
  <sheetFormatPr defaultRowHeight="15" x14ac:dyDescent="0.25"/>
  <cols>
    <col min="2" max="2" width="34.85546875" customWidth="1"/>
    <col min="3" max="3" width="9.140625" customWidth="1"/>
    <col min="4" max="4" width="12.5703125" bestFit="1" customWidth="1"/>
    <col min="6" max="6" width="2.5703125" customWidth="1"/>
    <col min="10" max="10" width="2.5703125" customWidth="1"/>
    <col min="14" max="14" width="2" customWidth="1"/>
    <col min="15" max="15" width="11.5703125" customWidth="1"/>
    <col min="26" max="26" width="11.85546875" customWidth="1"/>
    <col min="27" max="27" width="9.5703125" bestFit="1" customWidth="1"/>
    <col min="29" max="29" width="9.5703125" bestFit="1" customWidth="1"/>
  </cols>
  <sheetData>
    <row r="1" spans="1:29" x14ac:dyDescent="0.25">
      <c r="A1" s="167" t="s">
        <v>121</v>
      </c>
      <c r="B1" s="167"/>
      <c r="C1" s="167" t="s">
        <v>118</v>
      </c>
      <c r="D1" s="167"/>
      <c r="E1" s="167"/>
      <c r="F1" s="180"/>
      <c r="G1" s="167" t="s">
        <v>119</v>
      </c>
      <c r="H1" s="167"/>
      <c r="I1" s="167"/>
      <c r="J1" s="180"/>
      <c r="K1" s="167" t="s">
        <v>120</v>
      </c>
      <c r="L1" s="167"/>
      <c r="M1" s="167"/>
      <c r="O1" s="167" t="s">
        <v>135</v>
      </c>
      <c r="P1" s="167"/>
      <c r="Q1" s="167"/>
      <c r="T1" s="167" t="str">
        <f>BLE!D4</f>
        <v>3.0V</v>
      </c>
      <c r="U1" s="167"/>
      <c r="V1" s="167"/>
    </row>
    <row r="2" spans="1:29" x14ac:dyDescent="0.25">
      <c r="A2" s="167"/>
      <c r="B2" s="167"/>
      <c r="C2" s="167"/>
      <c r="D2" s="167"/>
      <c r="E2" s="167"/>
      <c r="F2" s="181"/>
      <c r="G2" s="167"/>
      <c r="H2" s="167"/>
      <c r="I2" s="167"/>
      <c r="J2" s="181"/>
      <c r="K2" s="167"/>
      <c r="L2" s="167"/>
      <c r="M2" s="167"/>
      <c r="O2" s="167"/>
      <c r="P2" s="167"/>
      <c r="Q2" s="167"/>
      <c r="T2" s="167"/>
      <c r="U2" s="167"/>
      <c r="V2" s="167"/>
      <c r="W2" s="142">
        <f>BLE!D6</f>
        <v>2</v>
      </c>
    </row>
    <row r="3" spans="1:29" x14ac:dyDescent="0.25">
      <c r="A3" s="47"/>
      <c r="B3" s="47" t="s">
        <v>19</v>
      </c>
      <c r="C3" s="75" t="s">
        <v>53</v>
      </c>
      <c r="D3" s="75" t="s">
        <v>54</v>
      </c>
      <c r="E3" s="75" t="s">
        <v>55</v>
      </c>
      <c r="F3" s="181"/>
      <c r="G3" s="75" t="s">
        <v>53</v>
      </c>
      <c r="H3" s="75" t="s">
        <v>54</v>
      </c>
      <c r="I3" s="75" t="s">
        <v>55</v>
      </c>
      <c r="J3" s="181"/>
      <c r="K3" s="75" t="s">
        <v>53</v>
      </c>
      <c r="L3" s="75" t="s">
        <v>54</v>
      </c>
      <c r="M3" s="75" t="s">
        <v>55</v>
      </c>
      <c r="O3" s="75" t="s">
        <v>53</v>
      </c>
      <c r="P3" s="75" t="s">
        <v>54</v>
      </c>
      <c r="Q3" s="75" t="s">
        <v>55</v>
      </c>
      <c r="T3" s="75" t="s">
        <v>53</v>
      </c>
      <c r="U3" s="75" t="s">
        <v>54</v>
      </c>
      <c r="V3" s="75" t="s">
        <v>55</v>
      </c>
      <c r="Y3" s="79"/>
      <c r="Z3" s="183" t="s">
        <v>136</v>
      </c>
      <c r="AA3" s="183"/>
      <c r="AB3" s="183" t="s">
        <v>137</v>
      </c>
      <c r="AC3" s="183"/>
    </row>
    <row r="4" spans="1:29" ht="39" x14ac:dyDescent="0.25">
      <c r="A4" s="47">
        <v>1</v>
      </c>
      <c r="B4" s="47" t="s">
        <v>35</v>
      </c>
      <c r="C4" s="76">
        <v>290</v>
      </c>
      <c r="D4" s="76">
        <v>4.1457499999999996</v>
      </c>
      <c r="E4" s="75">
        <f>C4*D4</f>
        <v>1202.2674999999999</v>
      </c>
      <c r="F4" s="181"/>
      <c r="G4" s="76">
        <v>275</v>
      </c>
      <c r="H4" s="76">
        <v>4.1970919999999996</v>
      </c>
      <c r="I4" s="75">
        <f>G4*H4</f>
        <v>1154.2003</v>
      </c>
      <c r="J4" s="181"/>
      <c r="K4" s="76">
        <v>277</v>
      </c>
      <c r="L4" s="76">
        <v>4.2178990000000001</v>
      </c>
      <c r="M4" s="75">
        <f>K4*L4</f>
        <v>1168.358023</v>
      </c>
      <c r="O4" s="76">
        <f>ROUNDUP(AVERAGE(C4,G4,K4),0)</f>
        <v>281</v>
      </c>
      <c r="P4" s="76">
        <f>ROUNDUP(AVERAGE(D4,H4,L4),2)</f>
        <v>4.1899999999999995</v>
      </c>
      <c r="Q4" s="75">
        <f>O4*P4</f>
        <v>1177.3899999999999</v>
      </c>
      <c r="T4" s="76">
        <f>IF(T1="3.0V",O4, IF(T1="3.3V",O31))</f>
        <v>281</v>
      </c>
      <c r="U4" s="76">
        <f>IF(T1="3.0V",P4, IF(T1="3.3V",P31))</f>
        <v>4.1899999999999995</v>
      </c>
      <c r="V4" s="75">
        <f>T4*U4</f>
        <v>1177.3899999999999</v>
      </c>
      <c r="Y4" s="79"/>
      <c r="Z4" s="118" t="s">
        <v>28</v>
      </c>
      <c r="AA4" s="128" t="s">
        <v>25</v>
      </c>
      <c r="AB4" s="118" t="s">
        <v>28</v>
      </c>
      <c r="AC4" s="128" t="s">
        <v>25</v>
      </c>
    </row>
    <row r="5" spans="1:29" x14ac:dyDescent="0.25">
      <c r="A5" s="47">
        <v>2</v>
      </c>
      <c r="B5" s="47" t="s">
        <v>36</v>
      </c>
      <c r="C5" s="76">
        <v>139</v>
      </c>
      <c r="D5" s="76">
        <v>4.3496629999999996</v>
      </c>
      <c r="E5" s="75">
        <f t="shared" ref="E5:E17" si="0">C5*D5</f>
        <v>604.6031569999999</v>
      </c>
      <c r="F5" s="181"/>
      <c r="G5" s="76">
        <v>139</v>
      </c>
      <c r="H5" s="76">
        <v>4.4877190000000002</v>
      </c>
      <c r="I5" s="75">
        <f t="shared" ref="I5:I17" si="1">G5*H5</f>
        <v>623.79294100000004</v>
      </c>
      <c r="J5" s="181"/>
      <c r="K5" s="76">
        <v>136</v>
      </c>
      <c r="L5" s="76">
        <v>4.4105169999999996</v>
      </c>
      <c r="M5" s="75">
        <f t="shared" ref="M5:M17" si="2">K5*L5</f>
        <v>599.83031199999994</v>
      </c>
      <c r="O5" s="76">
        <f t="shared" ref="O5:O9" si="3">ROUNDUP(AVERAGE(C5,G5,K5),0)</f>
        <v>138</v>
      </c>
      <c r="P5" s="76">
        <f t="shared" ref="P5:P9" si="4">ROUNDUP(AVERAGE(D5,H5,L5),2)</f>
        <v>4.42</v>
      </c>
      <c r="Q5" s="75">
        <f t="shared" ref="Q5:Q17" si="5">O5*P5</f>
        <v>609.96</v>
      </c>
      <c r="T5" s="76">
        <f>IF(T1="3.0V",O5, IF(T1="3.3V",O32))</f>
        <v>138</v>
      </c>
      <c r="U5" s="76">
        <f>IF(T1="3.0V",P5, IF(T1="3.3V",P32))</f>
        <v>4.42</v>
      </c>
      <c r="V5" s="75">
        <f t="shared" ref="V5:V17" si="6">T5*U5</f>
        <v>609.96</v>
      </c>
      <c r="Y5" s="79">
        <v>0</v>
      </c>
      <c r="Z5" s="79">
        <f>H7</f>
        <v>4.7465729999999997</v>
      </c>
      <c r="AA5" s="79">
        <f>H8</f>
        <v>9.793882</v>
      </c>
      <c r="AB5" s="79">
        <f>H34</f>
        <v>4.4086999999999996</v>
      </c>
      <c r="AC5" s="79">
        <f>H35</f>
        <v>8.943346</v>
      </c>
    </row>
    <row r="6" spans="1:29" x14ac:dyDescent="0.25">
      <c r="A6" s="47">
        <v>3</v>
      </c>
      <c r="B6" s="47" t="s">
        <v>27</v>
      </c>
      <c r="C6" s="76">
        <v>320</v>
      </c>
      <c r="D6" s="76">
        <v>7.9262249999999996</v>
      </c>
      <c r="E6" s="75">
        <f t="shared" si="0"/>
        <v>2536.3919999999998</v>
      </c>
      <c r="F6" s="181"/>
      <c r="G6" s="76">
        <v>322</v>
      </c>
      <c r="H6" s="76">
        <v>7.8046319999999998</v>
      </c>
      <c r="I6" s="75">
        <f t="shared" si="1"/>
        <v>2513.091504</v>
      </c>
      <c r="J6" s="181"/>
      <c r="K6" s="76">
        <v>323</v>
      </c>
      <c r="L6" s="76">
        <v>7.8372159999999997</v>
      </c>
      <c r="M6" s="75">
        <f t="shared" si="2"/>
        <v>2531.420768</v>
      </c>
      <c r="O6" s="76">
        <f t="shared" si="3"/>
        <v>322</v>
      </c>
      <c r="P6" s="76">
        <f t="shared" si="4"/>
        <v>7.8599999999999994</v>
      </c>
      <c r="Q6" s="75">
        <f t="shared" si="5"/>
        <v>2530.9199999999996</v>
      </c>
      <c r="T6" s="76">
        <f>IF(T1="3.0V",O6, IF(T1="3.3V",O33))</f>
        <v>322</v>
      </c>
      <c r="U6" s="76">
        <f>IF(T1="3.0V",P6, IF(T1="3.3V",P33))</f>
        <v>7.8599999999999994</v>
      </c>
      <c r="V6" s="75">
        <f t="shared" si="6"/>
        <v>2530.9199999999996</v>
      </c>
      <c r="Y6" s="79">
        <v>1</v>
      </c>
      <c r="Z6" s="79">
        <f>D115</f>
        <v>4.9441980000000001</v>
      </c>
      <c r="AA6" s="79">
        <f>D116</f>
        <v>10.547637999999999</v>
      </c>
      <c r="AB6" s="79">
        <f>D139</f>
        <v>4.7581990000000003</v>
      </c>
      <c r="AC6" s="79">
        <f>D140</f>
        <v>9.5303850000000008</v>
      </c>
    </row>
    <row r="7" spans="1:29" s="120" customFormat="1" x14ac:dyDescent="0.25">
      <c r="A7" s="129">
        <v>4</v>
      </c>
      <c r="B7" s="129" t="s">
        <v>28</v>
      </c>
      <c r="C7" s="73">
        <v>143</v>
      </c>
      <c r="D7" s="73">
        <v>5.4282700000000004</v>
      </c>
      <c r="E7" s="73">
        <f t="shared" si="0"/>
        <v>776.24261000000001</v>
      </c>
      <c r="F7" s="181"/>
      <c r="G7" s="73">
        <v>139</v>
      </c>
      <c r="H7" s="73">
        <v>4.7465729999999997</v>
      </c>
      <c r="I7" s="73">
        <f t="shared" si="1"/>
        <v>659.77364699999998</v>
      </c>
      <c r="J7" s="181"/>
      <c r="K7" s="73">
        <v>145</v>
      </c>
      <c r="L7" s="73">
        <v>7.5715159999999999</v>
      </c>
      <c r="M7" s="73">
        <f t="shared" si="2"/>
        <v>1097.8698199999999</v>
      </c>
      <c r="O7" s="73">
        <f t="shared" si="3"/>
        <v>143</v>
      </c>
      <c r="P7" s="73">
        <f>VLOOKUP(W2,Y5:AC15,2,FALSE)</f>
        <v>4.9994459999999998</v>
      </c>
      <c r="Q7" s="73">
        <f t="shared" si="5"/>
        <v>714.92077799999993</v>
      </c>
      <c r="T7" s="73">
        <f>IF(T1="3.0V",O7, IF(T1="3.3V",O34))</f>
        <v>143</v>
      </c>
      <c r="U7" s="73">
        <f>ROUNDUP(IF(T1="3.0V",P7, IF(T1="3.3V",P34)),2)</f>
        <v>5</v>
      </c>
      <c r="V7" s="73">
        <f t="shared" si="6"/>
        <v>715</v>
      </c>
      <c r="Y7" s="78">
        <v>2</v>
      </c>
      <c r="Z7" s="78">
        <f>D62</f>
        <v>4.9994459999999998</v>
      </c>
      <c r="AA7" s="78">
        <f>D63</f>
        <v>11.084873999999999</v>
      </c>
      <c r="AB7" s="78">
        <f>D89</f>
        <v>4.7760009999999999</v>
      </c>
      <c r="AC7" s="78">
        <f>D90</f>
        <v>10.048548</v>
      </c>
    </row>
    <row r="8" spans="1:29" s="132" customFormat="1" x14ac:dyDescent="0.25">
      <c r="A8" s="130">
        <v>5</v>
      </c>
      <c r="B8" s="130" t="s">
        <v>25</v>
      </c>
      <c r="C8" s="131">
        <v>38</v>
      </c>
      <c r="D8" s="131">
        <v>13.195672999999999</v>
      </c>
      <c r="E8" s="131">
        <f t="shared" si="0"/>
        <v>501.43557399999997</v>
      </c>
      <c r="F8" s="181"/>
      <c r="G8" s="131">
        <v>40</v>
      </c>
      <c r="H8" s="131">
        <v>9.793882</v>
      </c>
      <c r="I8" s="131">
        <f t="shared" si="1"/>
        <v>391.75527999999997</v>
      </c>
      <c r="J8" s="181"/>
      <c r="K8" s="131">
        <v>37</v>
      </c>
      <c r="L8" s="131">
        <v>32.736459000000004</v>
      </c>
      <c r="M8" s="131">
        <f t="shared" si="2"/>
        <v>1211.2489830000002</v>
      </c>
      <c r="O8" s="131">
        <f t="shared" si="3"/>
        <v>39</v>
      </c>
      <c r="P8" s="131">
        <f>VLOOKUP(W2,Y5:AC15,3,FALSE)</f>
        <v>11.084873999999999</v>
      </c>
      <c r="Q8" s="131">
        <f t="shared" si="5"/>
        <v>432.31008599999996</v>
      </c>
      <c r="T8" s="131">
        <f>IF(T1="3.0V",O8, IF(T1="3.3V",O35))</f>
        <v>39</v>
      </c>
      <c r="U8" s="131">
        <f>ROUNDUP(IF(T1="3.0V",P8, IF(T1="3.3V",P35)),2)</f>
        <v>11.09</v>
      </c>
      <c r="V8" s="131">
        <f t="shared" si="6"/>
        <v>432.51</v>
      </c>
      <c r="Y8" s="78">
        <v>3</v>
      </c>
      <c r="Z8" s="78">
        <f>H115</f>
        <v>5.1511570000000004</v>
      </c>
      <c r="AA8" s="78">
        <f>H116</f>
        <v>11.189778</v>
      </c>
      <c r="AB8" s="78">
        <f>H139</f>
        <v>4.9370659999999997</v>
      </c>
      <c r="AC8" s="78">
        <f>H140</f>
        <v>10.321934000000001</v>
      </c>
    </row>
    <row r="9" spans="1:29" x14ac:dyDescent="0.25">
      <c r="A9" s="47">
        <v>6</v>
      </c>
      <c r="B9" s="47" t="s">
        <v>29</v>
      </c>
      <c r="C9" s="76">
        <v>309</v>
      </c>
      <c r="D9" s="76">
        <v>5.499727</v>
      </c>
      <c r="E9" s="75">
        <f t="shared" si="0"/>
        <v>1699.415643</v>
      </c>
      <c r="F9" s="181"/>
      <c r="G9" s="76">
        <v>307</v>
      </c>
      <c r="H9" s="76">
        <v>5.4206219999999998</v>
      </c>
      <c r="I9" s="75">
        <f t="shared" si="1"/>
        <v>1664.130954</v>
      </c>
      <c r="J9" s="181"/>
      <c r="K9" s="76">
        <v>297</v>
      </c>
      <c r="L9" s="76">
        <v>6.450933</v>
      </c>
      <c r="M9" s="75">
        <f t="shared" si="2"/>
        <v>1915.927101</v>
      </c>
      <c r="O9" s="76">
        <f t="shared" si="3"/>
        <v>305</v>
      </c>
      <c r="P9" s="76">
        <f t="shared" si="4"/>
        <v>5.8</v>
      </c>
      <c r="Q9" s="75">
        <f t="shared" si="5"/>
        <v>1769</v>
      </c>
      <c r="T9" s="76">
        <f>IF(T1="3.0V",O9, IF(T1="3.3V",O36))</f>
        <v>305</v>
      </c>
      <c r="U9" s="76">
        <f>IF(T1="3.0V",P9, IF(T1="3.3V",P36))</f>
        <v>5.8</v>
      </c>
      <c r="V9" s="75">
        <f t="shared" si="6"/>
        <v>1769</v>
      </c>
      <c r="Y9" s="79">
        <v>4</v>
      </c>
      <c r="Z9" s="78">
        <f>H62</f>
        <v>5.4270430000000003</v>
      </c>
      <c r="AA9" s="78">
        <f>H63</f>
        <v>12.944539000000001</v>
      </c>
      <c r="AB9" s="79">
        <f>H89</f>
        <v>4.9514769999999997</v>
      </c>
      <c r="AC9" s="79">
        <f>H90</f>
        <v>11.014938000000001</v>
      </c>
    </row>
    <row r="10" spans="1:29" x14ac:dyDescent="0.25">
      <c r="A10" s="47">
        <v>7</v>
      </c>
      <c r="B10" s="47"/>
      <c r="C10" s="76"/>
      <c r="D10" s="76"/>
      <c r="E10" s="75">
        <f t="shared" si="0"/>
        <v>0</v>
      </c>
      <c r="F10" s="181"/>
      <c r="G10" s="76"/>
      <c r="H10" s="76"/>
      <c r="I10" s="75">
        <f t="shared" si="1"/>
        <v>0</v>
      </c>
      <c r="J10" s="181"/>
      <c r="K10" s="76"/>
      <c r="L10" s="76"/>
      <c r="M10" s="75">
        <f t="shared" si="2"/>
        <v>0</v>
      </c>
      <c r="O10" s="76"/>
      <c r="P10" s="76"/>
      <c r="Q10" s="75">
        <f t="shared" si="5"/>
        <v>0</v>
      </c>
      <c r="T10" s="76"/>
      <c r="U10" s="76"/>
      <c r="V10" s="75">
        <f t="shared" si="6"/>
        <v>0</v>
      </c>
      <c r="Y10" s="79">
        <v>5</v>
      </c>
      <c r="Z10" s="78">
        <f>D7</f>
        <v>5.4282700000000004</v>
      </c>
      <c r="AA10" s="78">
        <f>D8</f>
        <v>13.195672999999999</v>
      </c>
      <c r="AB10" s="79">
        <f>D34</f>
        <v>4.9827839999999997</v>
      </c>
      <c r="AC10" s="79">
        <f>D35</f>
        <v>12.009938</v>
      </c>
    </row>
    <row r="11" spans="1:29" x14ac:dyDescent="0.25">
      <c r="A11" s="47">
        <v>8</v>
      </c>
      <c r="B11" s="47"/>
      <c r="C11" s="76"/>
      <c r="D11" s="76"/>
      <c r="E11" s="75">
        <f t="shared" si="0"/>
        <v>0</v>
      </c>
      <c r="F11" s="181"/>
      <c r="G11" s="76"/>
      <c r="H11" s="76"/>
      <c r="I11" s="75">
        <f t="shared" si="1"/>
        <v>0</v>
      </c>
      <c r="J11" s="181"/>
      <c r="K11" s="76"/>
      <c r="L11" s="76"/>
      <c r="M11" s="75">
        <f t="shared" si="2"/>
        <v>0</v>
      </c>
      <c r="O11" s="76"/>
      <c r="P11" s="76"/>
      <c r="Q11" s="75">
        <f t="shared" si="5"/>
        <v>0</v>
      </c>
      <c r="T11" s="76"/>
      <c r="U11" s="76"/>
      <c r="V11" s="75">
        <f t="shared" si="6"/>
        <v>0</v>
      </c>
      <c r="Y11" s="79">
        <v>6</v>
      </c>
      <c r="Z11" s="79">
        <f>L115</f>
        <v>5.8237709999999998</v>
      </c>
      <c r="AA11" s="79">
        <f>L116</f>
        <v>21.659002999999998</v>
      </c>
      <c r="AB11" s="79">
        <f>L139</f>
        <v>5.9017600000000003</v>
      </c>
      <c r="AC11" s="79">
        <f>L140</f>
        <v>19.982655000000001</v>
      </c>
    </row>
    <row r="12" spans="1:29" x14ac:dyDescent="0.25">
      <c r="A12" s="47">
        <v>9</v>
      </c>
      <c r="B12" s="47"/>
      <c r="C12" s="76"/>
      <c r="D12" s="76"/>
      <c r="E12" s="75">
        <f t="shared" si="0"/>
        <v>0</v>
      </c>
      <c r="F12" s="181"/>
      <c r="G12" s="76"/>
      <c r="H12" s="76"/>
      <c r="I12" s="75">
        <f t="shared" si="1"/>
        <v>0</v>
      </c>
      <c r="J12" s="181"/>
      <c r="K12" s="76"/>
      <c r="L12" s="76"/>
      <c r="M12" s="75">
        <f t="shared" si="2"/>
        <v>0</v>
      </c>
      <c r="O12" s="76"/>
      <c r="P12" s="76"/>
      <c r="Q12" s="75">
        <f t="shared" si="5"/>
        <v>0</v>
      </c>
      <c r="T12" s="76"/>
      <c r="U12" s="76"/>
      <c r="V12" s="75">
        <f t="shared" si="6"/>
        <v>0</v>
      </c>
      <c r="Y12" s="79">
        <v>7</v>
      </c>
      <c r="Z12" s="78">
        <f>P115</f>
        <v>6.1062399999999997</v>
      </c>
      <c r="AA12" s="78">
        <f>P116</f>
        <v>22.529319000000001</v>
      </c>
      <c r="AB12" s="79">
        <f>P139</f>
        <v>6.0561610000000003</v>
      </c>
      <c r="AC12" s="79">
        <f>P140</f>
        <v>22.560402</v>
      </c>
    </row>
    <row r="13" spans="1:29" x14ac:dyDescent="0.25">
      <c r="A13" s="47">
        <v>10</v>
      </c>
      <c r="B13" s="47"/>
      <c r="C13" s="76"/>
      <c r="D13" s="76"/>
      <c r="E13" s="75">
        <f t="shared" si="0"/>
        <v>0</v>
      </c>
      <c r="F13" s="181"/>
      <c r="G13" s="76"/>
      <c r="H13" s="76"/>
      <c r="I13" s="75">
        <f t="shared" si="1"/>
        <v>0</v>
      </c>
      <c r="J13" s="181"/>
      <c r="K13" s="76"/>
      <c r="L13" s="76"/>
      <c r="M13" s="75">
        <f t="shared" si="2"/>
        <v>0</v>
      </c>
      <c r="O13" s="76"/>
      <c r="P13" s="76"/>
      <c r="Q13" s="75">
        <f t="shared" si="5"/>
        <v>0</v>
      </c>
      <c r="T13" s="76"/>
      <c r="U13" s="76"/>
      <c r="V13" s="75">
        <f t="shared" si="6"/>
        <v>0</v>
      </c>
      <c r="Y13" s="79">
        <v>8</v>
      </c>
      <c r="Z13" s="78">
        <f>L62</f>
        <v>6.7717450000000001</v>
      </c>
      <c r="AA13" s="78">
        <f>L63</f>
        <v>23.787815999999999</v>
      </c>
      <c r="AB13" s="79">
        <f>L89</f>
        <v>6.0670640000000002</v>
      </c>
      <c r="AC13" s="79">
        <f>L90</f>
        <v>22.932687999999999</v>
      </c>
    </row>
    <row r="14" spans="1:29" x14ac:dyDescent="0.25">
      <c r="A14" s="47">
        <v>11</v>
      </c>
      <c r="B14" s="47"/>
      <c r="C14" s="76"/>
      <c r="D14" s="76"/>
      <c r="E14" s="75">
        <f t="shared" si="0"/>
        <v>0</v>
      </c>
      <c r="F14" s="181"/>
      <c r="G14" s="76"/>
      <c r="H14" s="76"/>
      <c r="I14" s="75">
        <f t="shared" si="1"/>
        <v>0</v>
      </c>
      <c r="J14" s="181"/>
      <c r="K14" s="76"/>
      <c r="L14" s="76"/>
      <c r="M14" s="75">
        <f t="shared" si="2"/>
        <v>0</v>
      </c>
      <c r="O14" s="76"/>
      <c r="P14" s="76"/>
      <c r="Q14" s="75">
        <f t="shared" si="5"/>
        <v>0</v>
      </c>
      <c r="T14" s="76"/>
      <c r="U14" s="76"/>
      <c r="V14" s="75">
        <f t="shared" si="6"/>
        <v>0</v>
      </c>
      <c r="Y14" s="79">
        <v>9</v>
      </c>
      <c r="Z14" s="78">
        <f>T115</f>
        <v>7.4969760000000001</v>
      </c>
      <c r="AA14" s="78">
        <f>T116</f>
        <v>27.734665</v>
      </c>
      <c r="AB14" s="79">
        <f>T139</f>
        <v>6.9105359999999996</v>
      </c>
      <c r="AC14" s="79">
        <f>T140</f>
        <v>26.524861000000001</v>
      </c>
    </row>
    <row r="15" spans="1:29" x14ac:dyDescent="0.25">
      <c r="A15" s="47">
        <v>12</v>
      </c>
      <c r="B15" s="47"/>
      <c r="C15" s="76"/>
      <c r="D15" s="76"/>
      <c r="E15" s="75">
        <f t="shared" si="0"/>
        <v>0</v>
      </c>
      <c r="F15" s="181"/>
      <c r="G15" s="76"/>
      <c r="H15" s="76"/>
      <c r="I15" s="75">
        <f t="shared" si="1"/>
        <v>0</v>
      </c>
      <c r="J15" s="181"/>
      <c r="K15" s="76"/>
      <c r="L15" s="76"/>
      <c r="M15" s="75">
        <f t="shared" si="2"/>
        <v>0</v>
      </c>
      <c r="O15" s="76"/>
      <c r="P15" s="76"/>
      <c r="Q15" s="75">
        <f t="shared" si="5"/>
        <v>0</v>
      </c>
      <c r="T15" s="76"/>
      <c r="U15" s="76"/>
      <c r="V15" s="75">
        <f t="shared" si="6"/>
        <v>0</v>
      </c>
      <c r="Y15" s="79">
        <v>10</v>
      </c>
      <c r="Z15" s="79">
        <f>L7</f>
        <v>7.5715159999999999</v>
      </c>
      <c r="AA15" s="79">
        <f>L8</f>
        <v>32.736459000000004</v>
      </c>
      <c r="AB15" s="79">
        <f>L34</f>
        <v>7.3055690000000002</v>
      </c>
      <c r="AC15" s="79">
        <f>L35</f>
        <v>31.824110999999998</v>
      </c>
    </row>
    <row r="16" spans="1:29" x14ac:dyDescent="0.25">
      <c r="A16" s="47">
        <v>13</v>
      </c>
      <c r="B16" s="47"/>
      <c r="C16" s="76"/>
      <c r="D16" s="76"/>
      <c r="E16" s="75">
        <f t="shared" si="0"/>
        <v>0</v>
      </c>
      <c r="F16" s="181"/>
      <c r="G16" s="76"/>
      <c r="H16" s="76"/>
      <c r="I16" s="75">
        <f t="shared" si="1"/>
        <v>0</v>
      </c>
      <c r="J16" s="181"/>
      <c r="K16" s="76"/>
      <c r="L16" s="76"/>
      <c r="M16" s="75">
        <f t="shared" si="2"/>
        <v>0</v>
      </c>
      <c r="O16" s="76"/>
      <c r="P16" s="76"/>
      <c r="Q16" s="75">
        <f t="shared" si="5"/>
        <v>0</v>
      </c>
      <c r="T16" s="76"/>
      <c r="U16" s="76"/>
      <c r="V16" s="75">
        <f t="shared" si="6"/>
        <v>0</v>
      </c>
    </row>
    <row r="17" spans="1:22" x14ac:dyDescent="0.25">
      <c r="A17" s="47">
        <v>14</v>
      </c>
      <c r="B17" s="47"/>
      <c r="C17" s="76"/>
      <c r="D17" s="76"/>
      <c r="E17" s="75">
        <f t="shared" si="0"/>
        <v>0</v>
      </c>
      <c r="F17" s="181"/>
      <c r="G17" s="76"/>
      <c r="H17" s="76"/>
      <c r="I17" s="75">
        <f t="shared" si="1"/>
        <v>0</v>
      </c>
      <c r="J17" s="181"/>
      <c r="K17" s="76"/>
      <c r="L17" s="76"/>
      <c r="M17" s="75">
        <f t="shared" si="2"/>
        <v>0</v>
      </c>
      <c r="O17" s="76"/>
      <c r="P17" s="76"/>
      <c r="Q17" s="75">
        <f t="shared" si="5"/>
        <v>0</v>
      </c>
      <c r="T17" s="76"/>
      <c r="U17" s="76"/>
      <c r="V17" s="75">
        <f t="shared" si="6"/>
        <v>0</v>
      </c>
    </row>
    <row r="18" spans="1:22" x14ac:dyDescent="0.25">
      <c r="A18" s="47">
        <v>15</v>
      </c>
      <c r="B18" s="47"/>
      <c r="C18" s="76"/>
      <c r="D18" s="76"/>
      <c r="E18" s="75"/>
      <c r="F18" s="181"/>
      <c r="G18" s="76"/>
      <c r="H18" s="76"/>
      <c r="I18" s="75"/>
      <c r="J18" s="181"/>
      <c r="K18" s="76"/>
      <c r="L18" s="76"/>
      <c r="M18" s="75"/>
      <c r="O18" s="76"/>
      <c r="P18" s="76"/>
      <c r="Q18" s="75"/>
      <c r="T18" s="76"/>
      <c r="U18" s="76"/>
      <c r="V18" s="75"/>
    </row>
    <row r="19" spans="1:22" x14ac:dyDescent="0.25">
      <c r="A19" s="32"/>
      <c r="B19" s="47" t="s">
        <v>56</v>
      </c>
      <c r="C19" s="169">
        <f>SUM(C4:C17)</f>
        <v>1239</v>
      </c>
      <c r="D19" s="170"/>
      <c r="E19" s="171"/>
      <c r="F19" s="181"/>
      <c r="G19" s="177">
        <f>SUM(G4:G17)</f>
        <v>1222</v>
      </c>
      <c r="H19" s="178"/>
      <c r="I19" s="179"/>
      <c r="J19" s="181"/>
      <c r="K19" s="177">
        <f>SUM(K4:K17)</f>
        <v>1215</v>
      </c>
      <c r="L19" s="178"/>
      <c r="M19" s="179"/>
      <c r="O19" s="177">
        <f>SUM(O4:O17)</f>
        <v>1228</v>
      </c>
      <c r="P19" s="178"/>
      <c r="Q19" s="179"/>
      <c r="T19" s="177">
        <f>SUM(T4:T17)</f>
        <v>1228</v>
      </c>
      <c r="U19" s="178"/>
      <c r="V19" s="179"/>
    </row>
    <row r="20" spans="1:22" x14ac:dyDescent="0.25">
      <c r="A20" s="32"/>
      <c r="B20" s="47" t="s">
        <v>57</v>
      </c>
      <c r="C20" s="169">
        <f>SUM(E4:E17)/C19</f>
        <v>5.9082780338983047</v>
      </c>
      <c r="D20" s="170"/>
      <c r="E20" s="171"/>
      <c r="F20" s="182"/>
      <c r="G20" s="177">
        <f>SUM(I4:I17)/G19</f>
        <v>5.7338335728314247</v>
      </c>
      <c r="H20" s="178"/>
      <c r="I20" s="179"/>
      <c r="J20" s="182"/>
      <c r="K20" s="177">
        <f>SUM(M4:M17)/K19</f>
        <v>7.0161769604938264</v>
      </c>
      <c r="L20" s="178"/>
      <c r="M20" s="179"/>
      <c r="O20" s="177">
        <f>SUM(Q4:Q17)/O19</f>
        <v>5.8912873485342017</v>
      </c>
      <c r="P20" s="178"/>
      <c r="Q20" s="179"/>
      <c r="T20" s="177">
        <f>SUM(V4:V17)/T19</f>
        <v>5.8915146579804558</v>
      </c>
      <c r="U20" s="178"/>
      <c r="V20" s="179"/>
    </row>
    <row r="21" spans="1:22" x14ac:dyDescent="0.25">
      <c r="D21" t="s">
        <v>61</v>
      </c>
      <c r="E21" t="s">
        <v>62</v>
      </c>
      <c r="H21" t="s">
        <v>61</v>
      </c>
      <c r="I21" t="s">
        <v>62</v>
      </c>
      <c r="L21" t="s">
        <v>61</v>
      </c>
      <c r="M21" t="s">
        <v>62</v>
      </c>
      <c r="P21" t="s">
        <v>61</v>
      </c>
      <c r="Q21" t="s">
        <v>62</v>
      </c>
      <c r="U21" t="s">
        <v>61</v>
      </c>
      <c r="V21" t="s">
        <v>62</v>
      </c>
    </row>
    <row r="22" spans="1:22" x14ac:dyDescent="0.25">
      <c r="B22" s="47" t="s">
        <v>60</v>
      </c>
      <c r="C22" s="76">
        <v>28767</v>
      </c>
      <c r="D22" s="76">
        <v>0.305176</v>
      </c>
      <c r="E22" s="75">
        <v>6.5040000000000002E-3</v>
      </c>
      <c r="G22" s="76">
        <v>28779</v>
      </c>
      <c r="H22" s="76">
        <v>0.27974399999999999</v>
      </c>
      <c r="I22" s="75">
        <v>1.2227E-2</v>
      </c>
      <c r="K22" s="76">
        <v>28790</v>
      </c>
      <c r="L22" s="76">
        <v>0.33060699999999998</v>
      </c>
      <c r="M22" s="75">
        <v>1.074E-2</v>
      </c>
      <c r="O22" s="76">
        <v>16427</v>
      </c>
      <c r="P22" s="76">
        <v>5.4649000000000003E-2</v>
      </c>
      <c r="Q22" s="75">
        <f>-NU885</f>
        <v>0</v>
      </c>
      <c r="T22" s="76">
        <v>16427</v>
      </c>
      <c r="U22" s="76">
        <v>5.4649000000000003E-2</v>
      </c>
      <c r="V22" s="75">
        <f>-NZ885</f>
        <v>0</v>
      </c>
    </row>
    <row r="23" spans="1:22" x14ac:dyDescent="0.25">
      <c r="D23" t="s">
        <v>68</v>
      </c>
      <c r="H23" t="s">
        <v>69</v>
      </c>
      <c r="L23" t="s">
        <v>70</v>
      </c>
      <c r="P23" t="s">
        <v>70</v>
      </c>
      <c r="U23" t="s">
        <v>70</v>
      </c>
    </row>
    <row r="25" spans="1:22" x14ac:dyDescent="0.25">
      <c r="C25" t="s">
        <v>93</v>
      </c>
      <c r="D25" t="s">
        <v>94</v>
      </c>
      <c r="G25" t="s">
        <v>95</v>
      </c>
      <c r="H25" t="s">
        <v>96</v>
      </c>
    </row>
    <row r="28" spans="1:22" x14ac:dyDescent="0.25">
      <c r="A28" s="167" t="s">
        <v>121</v>
      </c>
      <c r="B28" s="167"/>
      <c r="C28" s="167" t="s">
        <v>122</v>
      </c>
      <c r="D28" s="167"/>
      <c r="E28" s="167"/>
      <c r="F28" s="180"/>
      <c r="G28" s="167" t="s">
        <v>123</v>
      </c>
      <c r="H28" s="167"/>
      <c r="I28" s="167"/>
      <c r="J28" s="180"/>
      <c r="K28" s="167" t="s">
        <v>124</v>
      </c>
      <c r="L28" s="167"/>
      <c r="M28" s="167"/>
      <c r="O28" s="167" t="s">
        <v>134</v>
      </c>
      <c r="P28" s="167"/>
      <c r="Q28" s="167"/>
    </row>
    <row r="29" spans="1:22" x14ac:dyDescent="0.25">
      <c r="A29" s="167"/>
      <c r="B29" s="167"/>
      <c r="C29" s="167"/>
      <c r="D29" s="167"/>
      <c r="E29" s="167"/>
      <c r="F29" s="181"/>
      <c r="G29" s="167"/>
      <c r="H29" s="167"/>
      <c r="I29" s="167"/>
      <c r="J29" s="181"/>
      <c r="K29" s="167"/>
      <c r="L29" s="167"/>
      <c r="M29" s="167"/>
      <c r="O29" s="167"/>
      <c r="P29" s="167"/>
      <c r="Q29" s="167"/>
    </row>
    <row r="30" spans="1:22" x14ac:dyDescent="0.25">
      <c r="A30" s="47"/>
      <c r="B30" s="47" t="s">
        <v>19</v>
      </c>
      <c r="C30" s="75" t="s">
        <v>53</v>
      </c>
      <c r="D30" s="75" t="s">
        <v>54</v>
      </c>
      <c r="E30" s="75" t="s">
        <v>55</v>
      </c>
      <c r="F30" s="181"/>
      <c r="G30" s="75" t="s">
        <v>53</v>
      </c>
      <c r="H30" s="75" t="s">
        <v>54</v>
      </c>
      <c r="I30" s="75" t="s">
        <v>55</v>
      </c>
      <c r="J30" s="181"/>
      <c r="K30" s="75" t="s">
        <v>53</v>
      </c>
      <c r="L30" s="75" t="s">
        <v>54</v>
      </c>
      <c r="M30" s="75" t="s">
        <v>55</v>
      </c>
      <c r="O30" s="75" t="s">
        <v>53</v>
      </c>
      <c r="P30" s="75" t="s">
        <v>54</v>
      </c>
      <c r="Q30" s="75" t="s">
        <v>55</v>
      </c>
    </row>
    <row r="31" spans="1:22" x14ac:dyDescent="0.25">
      <c r="A31" s="47">
        <v>1</v>
      </c>
      <c r="B31" s="47" t="s">
        <v>35</v>
      </c>
      <c r="C31" s="76">
        <v>286</v>
      </c>
      <c r="D31" s="76">
        <v>4.2068750000000001</v>
      </c>
      <c r="E31" s="75">
        <f>C31*D31</f>
        <v>1203.16625</v>
      </c>
      <c r="F31" s="181"/>
      <c r="G31" s="76">
        <v>270</v>
      </c>
      <c r="H31" s="76">
        <v>4.0123899999999999</v>
      </c>
      <c r="I31" s="75">
        <f>G31*H31</f>
        <v>1083.3453</v>
      </c>
      <c r="J31" s="181"/>
      <c r="K31" s="76">
        <v>293</v>
      </c>
      <c r="L31" s="76">
        <v>3.9006370000000001</v>
      </c>
      <c r="M31" s="75">
        <f>K31*L31</f>
        <v>1142.8866410000001</v>
      </c>
      <c r="O31" s="76">
        <f>ROUNDUP(AVERAGE(C31,G31,K31),0)</f>
        <v>283</v>
      </c>
      <c r="P31" s="76">
        <f>ROUNDUP(AVERAGE(D31,H31,L31),2)</f>
        <v>4.04</v>
      </c>
      <c r="Q31" s="75">
        <f>O31*P31</f>
        <v>1143.32</v>
      </c>
    </row>
    <row r="32" spans="1:22" x14ac:dyDescent="0.25">
      <c r="A32" s="47">
        <v>2</v>
      </c>
      <c r="B32" s="47" t="s">
        <v>36</v>
      </c>
      <c r="C32" s="76">
        <v>137</v>
      </c>
      <c r="D32" s="76">
        <v>4.002707</v>
      </c>
      <c r="E32" s="75">
        <f t="shared" ref="E32:E44" si="7">C32*D32</f>
        <v>548.370859</v>
      </c>
      <c r="F32" s="181"/>
      <c r="G32" s="76">
        <v>136</v>
      </c>
      <c r="H32" s="76">
        <v>3.8909910000000001</v>
      </c>
      <c r="I32" s="75">
        <f t="shared" ref="I32:I44" si="8">G32*H32</f>
        <v>529.17477600000007</v>
      </c>
      <c r="J32" s="181"/>
      <c r="K32" s="76">
        <v>133</v>
      </c>
      <c r="L32" s="76">
        <v>3.9927160000000002</v>
      </c>
      <c r="M32" s="75">
        <f t="shared" ref="M32:M44" si="9">K32*L32</f>
        <v>531.03122800000006</v>
      </c>
      <c r="O32" s="76">
        <f t="shared" ref="O32:O36" si="10">ROUNDUP(AVERAGE(C32,G32,K32),0)</f>
        <v>136</v>
      </c>
      <c r="P32" s="76">
        <f t="shared" ref="P32:P36" si="11">ROUNDUP(AVERAGE(D32,H32,L32),2)</f>
        <v>3.9699999999999998</v>
      </c>
      <c r="Q32" s="75">
        <f t="shared" ref="Q32:Q44" si="12">O32*P32</f>
        <v>539.91999999999996</v>
      </c>
    </row>
    <row r="33" spans="1:17" x14ac:dyDescent="0.25">
      <c r="A33" s="47">
        <v>3</v>
      </c>
      <c r="B33" s="47" t="s">
        <v>27</v>
      </c>
      <c r="C33" s="76">
        <v>324</v>
      </c>
      <c r="D33" s="76">
        <v>7.2650110000000003</v>
      </c>
      <c r="E33" s="75">
        <f t="shared" si="7"/>
        <v>2353.8635640000002</v>
      </c>
      <c r="F33" s="181"/>
      <c r="G33" s="76">
        <v>325</v>
      </c>
      <c r="H33" s="76">
        <v>7.2694429999999999</v>
      </c>
      <c r="I33" s="75">
        <f t="shared" si="8"/>
        <v>2362.5689750000001</v>
      </c>
      <c r="J33" s="181"/>
      <c r="K33" s="76">
        <v>321</v>
      </c>
      <c r="L33" s="76">
        <v>7.1819620000000004</v>
      </c>
      <c r="M33" s="75">
        <f t="shared" si="9"/>
        <v>2305.4098020000001</v>
      </c>
      <c r="O33" s="76">
        <f t="shared" si="10"/>
        <v>324</v>
      </c>
      <c r="P33" s="76">
        <f t="shared" si="11"/>
        <v>7.24</v>
      </c>
      <c r="Q33" s="75">
        <f t="shared" si="12"/>
        <v>2345.7600000000002</v>
      </c>
    </row>
    <row r="34" spans="1:17" s="120" customFormat="1" x14ac:dyDescent="0.25">
      <c r="A34" s="129">
        <v>4</v>
      </c>
      <c r="B34" s="129" t="s">
        <v>28</v>
      </c>
      <c r="C34" s="73">
        <v>141</v>
      </c>
      <c r="D34" s="73">
        <v>4.9827839999999997</v>
      </c>
      <c r="E34" s="73">
        <f t="shared" si="7"/>
        <v>702.57254399999999</v>
      </c>
      <c r="F34" s="181"/>
      <c r="G34" s="73">
        <v>141</v>
      </c>
      <c r="H34" s="73">
        <v>4.4086999999999996</v>
      </c>
      <c r="I34" s="73">
        <f t="shared" si="8"/>
        <v>621.62669999999991</v>
      </c>
      <c r="J34" s="181"/>
      <c r="K34" s="73">
        <v>149</v>
      </c>
      <c r="L34" s="73">
        <v>7.3055690000000002</v>
      </c>
      <c r="M34" s="73">
        <f t="shared" si="9"/>
        <v>1088.529781</v>
      </c>
      <c r="O34" s="73">
        <f t="shared" si="10"/>
        <v>144</v>
      </c>
      <c r="P34" s="73">
        <f>VLOOKUP(W2,Y5:AC15,4,FALSE)</f>
        <v>4.7760009999999999</v>
      </c>
      <c r="Q34" s="73">
        <f t="shared" si="12"/>
        <v>687.74414400000001</v>
      </c>
    </row>
    <row r="35" spans="1:17" s="132" customFormat="1" x14ac:dyDescent="0.25">
      <c r="A35" s="130">
        <v>5</v>
      </c>
      <c r="B35" s="130" t="s">
        <v>25</v>
      </c>
      <c r="C35" s="131">
        <v>38</v>
      </c>
      <c r="D35" s="131">
        <v>12.009938</v>
      </c>
      <c r="E35" s="131">
        <f t="shared" si="7"/>
        <v>456.37764399999998</v>
      </c>
      <c r="F35" s="181"/>
      <c r="G35" s="131">
        <v>38</v>
      </c>
      <c r="H35" s="131">
        <v>8.943346</v>
      </c>
      <c r="I35" s="131">
        <f t="shared" si="8"/>
        <v>339.847148</v>
      </c>
      <c r="J35" s="181"/>
      <c r="K35" s="131">
        <v>35</v>
      </c>
      <c r="L35" s="131">
        <v>31.824110999999998</v>
      </c>
      <c r="M35" s="131">
        <f t="shared" si="9"/>
        <v>1113.843885</v>
      </c>
      <c r="O35" s="131">
        <f t="shared" si="10"/>
        <v>37</v>
      </c>
      <c r="P35" s="131">
        <f>VLOOKUP(W2,Y5:AC15,5,FALSE)</f>
        <v>10.048548</v>
      </c>
      <c r="Q35" s="131">
        <f t="shared" si="12"/>
        <v>371.79627600000003</v>
      </c>
    </row>
    <row r="36" spans="1:17" x14ac:dyDescent="0.25">
      <c r="A36" s="47">
        <v>6</v>
      </c>
      <c r="B36" s="47" t="s">
        <v>29</v>
      </c>
      <c r="C36" s="76">
        <v>304</v>
      </c>
      <c r="D36" s="76">
        <v>5.3668550000000002</v>
      </c>
      <c r="E36" s="75">
        <f t="shared" si="7"/>
        <v>1631.5239200000001</v>
      </c>
      <c r="F36" s="181"/>
      <c r="G36" s="76">
        <v>294</v>
      </c>
      <c r="H36" s="76">
        <v>5.3072520000000001</v>
      </c>
      <c r="I36" s="75">
        <f t="shared" si="8"/>
        <v>1560.3320880000001</v>
      </c>
      <c r="J36" s="181"/>
      <c r="K36" s="76">
        <v>291</v>
      </c>
      <c r="L36" s="76">
        <v>6.1438550000000003</v>
      </c>
      <c r="M36" s="75">
        <f t="shared" si="9"/>
        <v>1787.861805</v>
      </c>
      <c r="O36" s="76">
        <f t="shared" si="10"/>
        <v>297</v>
      </c>
      <c r="P36" s="76">
        <f t="shared" si="11"/>
        <v>5.6099999999999994</v>
      </c>
      <c r="Q36" s="75">
        <f t="shared" si="12"/>
        <v>1666.1699999999998</v>
      </c>
    </row>
    <row r="37" spans="1:17" x14ac:dyDescent="0.25">
      <c r="A37" s="47">
        <v>7</v>
      </c>
      <c r="B37" s="47"/>
      <c r="C37" s="76"/>
      <c r="D37" s="76"/>
      <c r="E37" s="75">
        <f t="shared" si="7"/>
        <v>0</v>
      </c>
      <c r="F37" s="181"/>
      <c r="G37" s="76"/>
      <c r="H37" s="76"/>
      <c r="I37" s="75">
        <f t="shared" si="8"/>
        <v>0</v>
      </c>
      <c r="J37" s="181"/>
      <c r="K37" s="76"/>
      <c r="L37" s="76"/>
      <c r="M37" s="75">
        <f t="shared" si="9"/>
        <v>0</v>
      </c>
      <c r="O37" s="76"/>
      <c r="P37" s="76"/>
      <c r="Q37" s="75">
        <f t="shared" si="12"/>
        <v>0</v>
      </c>
    </row>
    <row r="38" spans="1:17" x14ac:dyDescent="0.25">
      <c r="A38" s="47">
        <v>8</v>
      </c>
      <c r="B38" s="47"/>
      <c r="C38" s="76"/>
      <c r="D38" s="76"/>
      <c r="E38" s="75">
        <f t="shared" si="7"/>
        <v>0</v>
      </c>
      <c r="F38" s="181"/>
      <c r="G38" s="76"/>
      <c r="H38" s="76"/>
      <c r="I38" s="75">
        <f t="shared" si="8"/>
        <v>0</v>
      </c>
      <c r="J38" s="181"/>
      <c r="K38" s="76"/>
      <c r="L38" s="76"/>
      <c r="M38" s="75">
        <f t="shared" si="9"/>
        <v>0</v>
      </c>
      <c r="O38" s="76"/>
      <c r="P38" s="76"/>
      <c r="Q38" s="75">
        <f t="shared" si="12"/>
        <v>0</v>
      </c>
    </row>
    <row r="39" spans="1:17" x14ac:dyDescent="0.25">
      <c r="A39" s="47">
        <v>9</v>
      </c>
      <c r="B39" s="47"/>
      <c r="C39" s="76"/>
      <c r="D39" s="76"/>
      <c r="E39" s="75">
        <f t="shared" si="7"/>
        <v>0</v>
      </c>
      <c r="F39" s="181"/>
      <c r="G39" s="76"/>
      <c r="H39" s="76"/>
      <c r="I39" s="75">
        <f t="shared" si="8"/>
        <v>0</v>
      </c>
      <c r="J39" s="181"/>
      <c r="K39" s="76"/>
      <c r="L39" s="76"/>
      <c r="M39" s="75">
        <f t="shared" si="9"/>
        <v>0</v>
      </c>
      <c r="O39" s="76"/>
      <c r="P39" s="76"/>
      <c r="Q39" s="75">
        <f t="shared" si="12"/>
        <v>0</v>
      </c>
    </row>
    <row r="40" spans="1:17" x14ac:dyDescent="0.25">
      <c r="A40" s="47">
        <v>10</v>
      </c>
      <c r="B40" s="47"/>
      <c r="C40" s="76"/>
      <c r="D40" s="76"/>
      <c r="E40" s="75">
        <f t="shared" si="7"/>
        <v>0</v>
      </c>
      <c r="F40" s="181"/>
      <c r="G40" s="76"/>
      <c r="H40" s="76"/>
      <c r="I40" s="75">
        <f t="shared" si="8"/>
        <v>0</v>
      </c>
      <c r="J40" s="181"/>
      <c r="K40" s="76"/>
      <c r="L40" s="76"/>
      <c r="M40" s="75">
        <f t="shared" si="9"/>
        <v>0</v>
      </c>
      <c r="O40" s="76"/>
      <c r="P40" s="76"/>
      <c r="Q40" s="75">
        <f t="shared" si="12"/>
        <v>0</v>
      </c>
    </row>
    <row r="41" spans="1:17" x14ac:dyDescent="0.25">
      <c r="A41" s="47">
        <v>11</v>
      </c>
      <c r="B41" s="47"/>
      <c r="C41" s="76"/>
      <c r="D41" s="76"/>
      <c r="E41" s="75">
        <f t="shared" si="7"/>
        <v>0</v>
      </c>
      <c r="F41" s="181"/>
      <c r="G41" s="76"/>
      <c r="H41" s="76"/>
      <c r="I41" s="75">
        <f t="shared" si="8"/>
        <v>0</v>
      </c>
      <c r="J41" s="181"/>
      <c r="K41" s="76"/>
      <c r="L41" s="76"/>
      <c r="M41" s="75">
        <f t="shared" si="9"/>
        <v>0</v>
      </c>
      <c r="O41" s="76"/>
      <c r="P41" s="76"/>
      <c r="Q41" s="75">
        <f t="shared" si="12"/>
        <v>0</v>
      </c>
    </row>
    <row r="42" spans="1:17" x14ac:dyDescent="0.25">
      <c r="A42" s="47">
        <v>12</v>
      </c>
      <c r="B42" s="47"/>
      <c r="C42" s="76"/>
      <c r="D42" s="76"/>
      <c r="E42" s="75">
        <f t="shared" si="7"/>
        <v>0</v>
      </c>
      <c r="F42" s="181"/>
      <c r="G42" s="76"/>
      <c r="H42" s="76"/>
      <c r="I42" s="75">
        <f t="shared" si="8"/>
        <v>0</v>
      </c>
      <c r="J42" s="181"/>
      <c r="K42" s="76"/>
      <c r="L42" s="76"/>
      <c r="M42" s="75">
        <f t="shared" si="9"/>
        <v>0</v>
      </c>
      <c r="O42" s="76"/>
      <c r="P42" s="76"/>
      <c r="Q42" s="75">
        <f t="shared" si="12"/>
        <v>0</v>
      </c>
    </row>
    <row r="43" spans="1:17" x14ac:dyDescent="0.25">
      <c r="A43" s="47">
        <v>13</v>
      </c>
      <c r="B43" s="47"/>
      <c r="C43" s="76"/>
      <c r="D43" s="76"/>
      <c r="E43" s="75">
        <f t="shared" si="7"/>
        <v>0</v>
      </c>
      <c r="F43" s="181"/>
      <c r="G43" s="76"/>
      <c r="H43" s="76"/>
      <c r="I43" s="75">
        <f t="shared" si="8"/>
        <v>0</v>
      </c>
      <c r="J43" s="181"/>
      <c r="K43" s="76"/>
      <c r="L43" s="76"/>
      <c r="M43" s="75">
        <f t="shared" si="9"/>
        <v>0</v>
      </c>
      <c r="O43" s="76"/>
      <c r="P43" s="76"/>
      <c r="Q43" s="75">
        <f t="shared" si="12"/>
        <v>0</v>
      </c>
    </row>
    <row r="44" spans="1:17" x14ac:dyDescent="0.25">
      <c r="A44" s="47">
        <v>14</v>
      </c>
      <c r="B44" s="47"/>
      <c r="C44" s="76"/>
      <c r="D44" s="76"/>
      <c r="E44" s="75">
        <f t="shared" si="7"/>
        <v>0</v>
      </c>
      <c r="F44" s="181"/>
      <c r="G44" s="76"/>
      <c r="H44" s="76"/>
      <c r="I44" s="75">
        <f t="shared" si="8"/>
        <v>0</v>
      </c>
      <c r="J44" s="181"/>
      <c r="K44" s="76"/>
      <c r="L44" s="76"/>
      <c r="M44" s="75">
        <f t="shared" si="9"/>
        <v>0</v>
      </c>
      <c r="O44" s="76"/>
      <c r="P44" s="76"/>
      <c r="Q44" s="75">
        <f t="shared" si="12"/>
        <v>0</v>
      </c>
    </row>
    <row r="45" spans="1:17" x14ac:dyDescent="0.25">
      <c r="A45" s="47">
        <v>15</v>
      </c>
      <c r="B45" s="47"/>
      <c r="C45" s="76"/>
      <c r="D45" s="76"/>
      <c r="E45" s="75"/>
      <c r="F45" s="181"/>
      <c r="G45" s="76"/>
      <c r="H45" s="76"/>
      <c r="I45" s="75"/>
      <c r="J45" s="181"/>
      <c r="K45" s="76"/>
      <c r="L45" s="76"/>
      <c r="M45" s="75"/>
      <c r="O45" s="76"/>
      <c r="P45" s="76"/>
      <c r="Q45" s="75"/>
    </row>
    <row r="46" spans="1:17" x14ac:dyDescent="0.25">
      <c r="A46" s="32"/>
      <c r="B46" s="47" t="s">
        <v>56</v>
      </c>
      <c r="C46" s="169">
        <f>SUM(C31:C44)</f>
        <v>1230</v>
      </c>
      <c r="D46" s="170"/>
      <c r="E46" s="171"/>
      <c r="F46" s="181"/>
      <c r="G46" s="177">
        <f>SUM(G31:G44)</f>
        <v>1204</v>
      </c>
      <c r="H46" s="178"/>
      <c r="I46" s="179"/>
      <c r="J46" s="181"/>
      <c r="K46" s="177">
        <f>SUM(K31:K44)</f>
        <v>1222</v>
      </c>
      <c r="L46" s="178"/>
      <c r="M46" s="179"/>
      <c r="O46" s="177">
        <f>SUM(O31:O44)</f>
        <v>1221</v>
      </c>
      <c r="P46" s="178"/>
      <c r="Q46" s="179"/>
    </row>
    <row r="47" spans="1:17" x14ac:dyDescent="0.25">
      <c r="A47" s="32"/>
      <c r="B47" s="47" t="s">
        <v>57</v>
      </c>
      <c r="C47" s="169">
        <f>SUM(E31:E44)/C46</f>
        <v>5.6064022609756101</v>
      </c>
      <c r="D47" s="170"/>
      <c r="E47" s="171"/>
      <c r="F47" s="182"/>
      <c r="G47" s="177">
        <f>SUM(I31:I44)/G46</f>
        <v>5.3960921818936871</v>
      </c>
      <c r="H47" s="178"/>
      <c r="I47" s="179"/>
      <c r="J47" s="182"/>
      <c r="K47" s="177">
        <f>SUM(M31:M44)/K46</f>
        <v>6.5217374320785604</v>
      </c>
      <c r="L47" s="178"/>
      <c r="M47" s="179"/>
      <c r="O47" s="177">
        <f>SUM(Q31:Q44)/O46</f>
        <v>5.5321133660933661</v>
      </c>
      <c r="P47" s="178"/>
      <c r="Q47" s="179"/>
    </row>
    <row r="48" spans="1:17" x14ac:dyDescent="0.25">
      <c r="D48" t="s">
        <v>61</v>
      </c>
      <c r="E48" t="s">
        <v>62</v>
      </c>
      <c r="H48" t="s">
        <v>61</v>
      </c>
      <c r="I48" t="s">
        <v>62</v>
      </c>
      <c r="L48" t="s">
        <v>61</v>
      </c>
      <c r="M48" t="s">
        <v>62</v>
      </c>
      <c r="P48" t="s">
        <v>61</v>
      </c>
      <c r="Q48" t="s">
        <v>62</v>
      </c>
    </row>
    <row r="49" spans="1:17" x14ac:dyDescent="0.25">
      <c r="B49" s="47" t="s">
        <v>60</v>
      </c>
      <c r="C49" s="76">
        <v>22102</v>
      </c>
      <c r="D49" s="76">
        <v>2.0358999999999999E-2</v>
      </c>
      <c r="E49" s="75">
        <f>-NI912</f>
        <v>0</v>
      </c>
      <c r="G49" s="76">
        <v>28790</v>
      </c>
      <c r="H49" s="76">
        <v>0.27974399999999999</v>
      </c>
      <c r="I49" s="75">
        <v>2.4889000000000001E-2</v>
      </c>
      <c r="K49" s="76">
        <v>28811</v>
      </c>
      <c r="L49" s="76">
        <v>0.305176</v>
      </c>
      <c r="M49" s="75">
        <v>2.8802000000000001E-2</v>
      </c>
      <c r="O49" s="76">
        <v>16427</v>
      </c>
      <c r="P49" s="76">
        <v>5.4649000000000003E-2</v>
      </c>
      <c r="Q49" s="75">
        <f>-NU912</f>
        <v>0</v>
      </c>
    </row>
    <row r="50" spans="1:17" x14ac:dyDescent="0.25">
      <c r="D50" t="s">
        <v>68</v>
      </c>
      <c r="H50" t="s">
        <v>69</v>
      </c>
      <c r="L50" t="s">
        <v>70</v>
      </c>
      <c r="P50" t="s">
        <v>70</v>
      </c>
    </row>
    <row r="52" spans="1:17" x14ac:dyDescent="0.25">
      <c r="C52" t="s">
        <v>93</v>
      </c>
      <c r="D52" t="s">
        <v>94</v>
      </c>
      <c r="G52" t="s">
        <v>95</v>
      </c>
      <c r="H52" t="s">
        <v>96</v>
      </c>
    </row>
    <row r="56" spans="1:17" x14ac:dyDescent="0.25">
      <c r="A56" s="167" t="s">
        <v>121</v>
      </c>
      <c r="B56" s="167"/>
      <c r="C56" s="167" t="s">
        <v>165</v>
      </c>
      <c r="D56" s="167"/>
      <c r="E56" s="167"/>
      <c r="F56" s="180"/>
      <c r="G56" s="167" t="s">
        <v>166</v>
      </c>
      <c r="H56" s="167"/>
      <c r="I56" s="167"/>
      <c r="J56" s="180"/>
      <c r="K56" s="167" t="s">
        <v>167</v>
      </c>
      <c r="L56" s="167"/>
      <c r="M56" s="167"/>
    </row>
    <row r="57" spans="1:17" x14ac:dyDescent="0.25">
      <c r="A57" s="167"/>
      <c r="B57" s="167"/>
      <c r="C57" s="167"/>
      <c r="D57" s="167"/>
      <c r="E57" s="167"/>
      <c r="F57" s="181"/>
      <c r="G57" s="167"/>
      <c r="H57" s="167"/>
      <c r="I57" s="167"/>
      <c r="J57" s="181"/>
      <c r="K57" s="167"/>
      <c r="L57" s="167"/>
      <c r="M57" s="167"/>
    </row>
    <row r="58" spans="1:17" x14ac:dyDescent="0.25">
      <c r="A58" s="47"/>
      <c r="B58" s="47" t="s">
        <v>19</v>
      </c>
      <c r="C58" s="75" t="s">
        <v>53</v>
      </c>
      <c r="D58" s="75" t="s">
        <v>54</v>
      </c>
      <c r="E58" s="75" t="s">
        <v>55</v>
      </c>
      <c r="F58" s="181"/>
      <c r="G58" s="75" t="s">
        <v>53</v>
      </c>
      <c r="H58" s="75" t="s">
        <v>54</v>
      </c>
      <c r="I58" s="75" t="s">
        <v>55</v>
      </c>
      <c r="J58" s="181"/>
      <c r="K58" s="75" t="s">
        <v>53</v>
      </c>
      <c r="L58" s="75" t="s">
        <v>54</v>
      </c>
      <c r="M58" s="75" t="s">
        <v>55</v>
      </c>
    </row>
    <row r="59" spans="1:17" x14ac:dyDescent="0.25">
      <c r="A59" s="47">
        <v>1</v>
      </c>
      <c r="B59" s="47" t="s">
        <v>35</v>
      </c>
      <c r="C59" s="76">
        <v>271</v>
      </c>
      <c r="D59" s="76">
        <v>4.1989929999999998</v>
      </c>
      <c r="E59" s="75">
        <f>C59*D59</f>
        <v>1137.927103</v>
      </c>
      <c r="F59" s="181"/>
      <c r="G59" s="76">
        <v>294</v>
      </c>
      <c r="H59" s="76">
        <v>4.110665</v>
      </c>
      <c r="I59" s="75">
        <f>G59*H59</f>
        <v>1208.5355099999999</v>
      </c>
      <c r="J59" s="181"/>
      <c r="K59" s="76">
        <v>288</v>
      </c>
      <c r="L59" s="76">
        <v>4.1671659999999999</v>
      </c>
      <c r="M59" s="75">
        <f>K59*L59</f>
        <v>1200.143808</v>
      </c>
    </row>
    <row r="60" spans="1:17" x14ac:dyDescent="0.25">
      <c r="A60" s="47">
        <v>2</v>
      </c>
      <c r="B60" s="47" t="s">
        <v>36</v>
      </c>
      <c r="C60" s="76">
        <v>134</v>
      </c>
      <c r="D60" s="76">
        <v>4.293183</v>
      </c>
      <c r="E60" s="75">
        <f t="shared" ref="E60:E72" si="13">C60*D60</f>
        <v>575.28652199999999</v>
      </c>
      <c r="F60" s="181"/>
      <c r="G60" s="76">
        <v>139</v>
      </c>
      <c r="H60" s="76">
        <v>4.4539879999999998</v>
      </c>
      <c r="I60" s="75">
        <f t="shared" ref="I60:I72" si="14">G60*H60</f>
        <v>619.104332</v>
      </c>
      <c r="J60" s="181"/>
      <c r="K60" s="76">
        <v>138</v>
      </c>
      <c r="L60" s="76">
        <v>4.3097000000000003</v>
      </c>
      <c r="M60" s="75">
        <f t="shared" ref="M60:M72" si="15">K60*L60</f>
        <v>594.73860000000002</v>
      </c>
    </row>
    <row r="61" spans="1:17" x14ac:dyDescent="0.25">
      <c r="A61" s="47">
        <v>3</v>
      </c>
      <c r="B61" s="47" t="s">
        <v>27</v>
      </c>
      <c r="C61" s="76">
        <v>326</v>
      </c>
      <c r="D61" s="76">
        <v>7.9329809999999998</v>
      </c>
      <c r="E61" s="75">
        <f t="shared" si="13"/>
        <v>2586.1518059999999</v>
      </c>
      <c r="F61" s="181"/>
      <c r="G61" s="76">
        <v>319</v>
      </c>
      <c r="H61" s="76">
        <v>7.8679639999999997</v>
      </c>
      <c r="I61" s="75">
        <f t="shared" si="14"/>
        <v>2509.8805159999997</v>
      </c>
      <c r="J61" s="181"/>
      <c r="K61" s="76">
        <v>321</v>
      </c>
      <c r="L61" s="76">
        <v>7.8670179999999998</v>
      </c>
      <c r="M61" s="75">
        <f t="shared" si="15"/>
        <v>2525.312778</v>
      </c>
    </row>
    <row r="62" spans="1:17" s="120" customFormat="1" x14ac:dyDescent="0.25">
      <c r="A62" s="129">
        <v>4</v>
      </c>
      <c r="B62" s="129" t="s">
        <v>28</v>
      </c>
      <c r="C62" s="73">
        <v>140</v>
      </c>
      <c r="D62" s="73">
        <v>4.9994459999999998</v>
      </c>
      <c r="E62" s="73">
        <f t="shared" si="13"/>
        <v>699.92243999999994</v>
      </c>
      <c r="F62" s="181"/>
      <c r="G62" s="73">
        <v>147</v>
      </c>
      <c r="H62" s="73">
        <v>5.4270430000000003</v>
      </c>
      <c r="I62" s="73">
        <f t="shared" si="14"/>
        <v>797.77532100000008</v>
      </c>
      <c r="J62" s="181"/>
      <c r="K62" s="73">
        <v>143</v>
      </c>
      <c r="L62" s="73">
        <v>6.7717450000000001</v>
      </c>
      <c r="M62" s="73">
        <f t="shared" si="15"/>
        <v>968.35953500000005</v>
      </c>
    </row>
    <row r="63" spans="1:17" s="132" customFormat="1" x14ac:dyDescent="0.25">
      <c r="A63" s="130">
        <v>5</v>
      </c>
      <c r="B63" s="130" t="s">
        <v>25</v>
      </c>
      <c r="C63" s="131">
        <v>39</v>
      </c>
      <c r="D63" s="131">
        <v>11.084873999999999</v>
      </c>
      <c r="E63" s="131">
        <f t="shared" si="13"/>
        <v>432.31008599999996</v>
      </c>
      <c r="F63" s="181"/>
      <c r="G63" s="131">
        <v>38</v>
      </c>
      <c r="H63" s="131">
        <v>12.944539000000001</v>
      </c>
      <c r="I63" s="131">
        <f t="shared" si="14"/>
        <v>491.89248200000003</v>
      </c>
      <c r="J63" s="181"/>
      <c r="K63" s="131">
        <v>38</v>
      </c>
      <c r="L63" s="131">
        <v>23.787815999999999</v>
      </c>
      <c r="M63" s="131">
        <f t="shared" si="15"/>
        <v>903.93700799999999</v>
      </c>
    </row>
    <row r="64" spans="1:17" x14ac:dyDescent="0.25">
      <c r="A64" s="47">
        <v>6</v>
      </c>
      <c r="B64" s="47" t="s">
        <v>29</v>
      </c>
      <c r="C64" s="76">
        <v>307</v>
      </c>
      <c r="D64" s="76">
        <v>5.6303260000000002</v>
      </c>
      <c r="E64" s="75">
        <f t="shared" si="13"/>
        <v>1728.510082</v>
      </c>
      <c r="F64" s="181"/>
      <c r="G64" s="76">
        <v>308</v>
      </c>
      <c r="H64" s="76">
        <v>5.4823240000000002</v>
      </c>
      <c r="I64" s="75">
        <f t="shared" si="14"/>
        <v>1688.5557920000001</v>
      </c>
      <c r="J64" s="181"/>
      <c r="K64" s="76">
        <v>301</v>
      </c>
      <c r="L64" s="76">
        <v>6.0941910000000004</v>
      </c>
      <c r="M64" s="75">
        <f t="shared" si="15"/>
        <v>1834.3514910000001</v>
      </c>
    </row>
    <row r="65" spans="1:13" x14ac:dyDescent="0.25">
      <c r="A65" s="47">
        <v>7</v>
      </c>
      <c r="B65" s="47"/>
      <c r="C65" s="76"/>
      <c r="D65" s="76"/>
      <c r="E65" s="75">
        <f t="shared" si="13"/>
        <v>0</v>
      </c>
      <c r="F65" s="181"/>
      <c r="G65" s="76"/>
      <c r="H65" s="76"/>
      <c r="I65" s="75">
        <f t="shared" si="14"/>
        <v>0</v>
      </c>
      <c r="J65" s="181"/>
      <c r="K65" s="76"/>
      <c r="L65" s="76"/>
      <c r="M65" s="75">
        <f t="shared" si="15"/>
        <v>0</v>
      </c>
    </row>
    <row r="66" spans="1:13" x14ac:dyDescent="0.25">
      <c r="A66" s="47">
        <v>8</v>
      </c>
      <c r="B66" s="47"/>
      <c r="C66" s="76"/>
      <c r="D66" s="76"/>
      <c r="E66" s="75">
        <f t="shared" si="13"/>
        <v>0</v>
      </c>
      <c r="F66" s="181"/>
      <c r="G66" s="76"/>
      <c r="H66" s="76"/>
      <c r="I66" s="75">
        <f t="shared" si="14"/>
        <v>0</v>
      </c>
      <c r="J66" s="181"/>
      <c r="K66" s="76"/>
      <c r="L66" s="76"/>
      <c r="M66" s="75">
        <f t="shared" si="15"/>
        <v>0</v>
      </c>
    </row>
    <row r="67" spans="1:13" x14ac:dyDescent="0.25">
      <c r="A67" s="47">
        <v>9</v>
      </c>
      <c r="B67" s="47"/>
      <c r="C67" s="76"/>
      <c r="D67" s="76"/>
      <c r="E67" s="75">
        <f t="shared" si="13"/>
        <v>0</v>
      </c>
      <c r="F67" s="181"/>
      <c r="G67" s="76"/>
      <c r="H67" s="76"/>
      <c r="I67" s="75">
        <f t="shared" si="14"/>
        <v>0</v>
      </c>
      <c r="J67" s="181"/>
      <c r="K67" s="76"/>
      <c r="L67" s="76"/>
      <c r="M67" s="75">
        <f t="shared" si="15"/>
        <v>0</v>
      </c>
    </row>
    <row r="68" spans="1:13" x14ac:dyDescent="0.25">
      <c r="A68" s="47">
        <v>10</v>
      </c>
      <c r="B68" s="47"/>
      <c r="C68" s="76"/>
      <c r="D68" s="76"/>
      <c r="E68" s="75">
        <f t="shared" si="13"/>
        <v>0</v>
      </c>
      <c r="F68" s="181"/>
      <c r="G68" s="76"/>
      <c r="H68" s="76"/>
      <c r="I68" s="75">
        <f t="shared" si="14"/>
        <v>0</v>
      </c>
      <c r="J68" s="181"/>
      <c r="K68" s="76"/>
      <c r="L68" s="76"/>
      <c r="M68" s="75">
        <f t="shared" si="15"/>
        <v>0</v>
      </c>
    </row>
    <row r="69" spans="1:13" x14ac:dyDescent="0.25">
      <c r="A69" s="47">
        <v>11</v>
      </c>
      <c r="B69" s="47"/>
      <c r="C69" s="76"/>
      <c r="D69" s="76"/>
      <c r="E69" s="75">
        <f t="shared" si="13"/>
        <v>0</v>
      </c>
      <c r="F69" s="181"/>
      <c r="G69" s="76"/>
      <c r="H69" s="76"/>
      <c r="I69" s="75">
        <f t="shared" si="14"/>
        <v>0</v>
      </c>
      <c r="J69" s="181"/>
      <c r="K69" s="76"/>
      <c r="L69" s="76"/>
      <c r="M69" s="75">
        <f t="shared" si="15"/>
        <v>0</v>
      </c>
    </row>
    <row r="70" spans="1:13" x14ac:dyDescent="0.25">
      <c r="A70" s="47">
        <v>12</v>
      </c>
      <c r="B70" s="47"/>
      <c r="C70" s="76"/>
      <c r="D70" s="76"/>
      <c r="E70" s="75">
        <f t="shared" si="13"/>
        <v>0</v>
      </c>
      <c r="F70" s="181"/>
      <c r="G70" s="76"/>
      <c r="H70" s="76"/>
      <c r="I70" s="75">
        <f t="shared" si="14"/>
        <v>0</v>
      </c>
      <c r="J70" s="181"/>
      <c r="K70" s="76"/>
      <c r="L70" s="76"/>
      <c r="M70" s="75">
        <f t="shared" si="15"/>
        <v>0</v>
      </c>
    </row>
    <row r="71" spans="1:13" x14ac:dyDescent="0.25">
      <c r="A71" s="47">
        <v>13</v>
      </c>
      <c r="B71" s="47"/>
      <c r="C71" s="76"/>
      <c r="D71" s="76"/>
      <c r="E71" s="75">
        <f t="shared" si="13"/>
        <v>0</v>
      </c>
      <c r="F71" s="181"/>
      <c r="G71" s="76"/>
      <c r="H71" s="76"/>
      <c r="I71" s="75">
        <f t="shared" si="14"/>
        <v>0</v>
      </c>
      <c r="J71" s="181"/>
      <c r="K71" s="76"/>
      <c r="L71" s="76"/>
      <c r="M71" s="75">
        <f t="shared" si="15"/>
        <v>0</v>
      </c>
    </row>
    <row r="72" spans="1:13" x14ac:dyDescent="0.25">
      <c r="A72" s="47">
        <v>14</v>
      </c>
      <c r="B72" s="47"/>
      <c r="C72" s="76"/>
      <c r="D72" s="76"/>
      <c r="E72" s="75">
        <f t="shared" si="13"/>
        <v>0</v>
      </c>
      <c r="F72" s="181"/>
      <c r="G72" s="76"/>
      <c r="H72" s="76"/>
      <c r="I72" s="75">
        <f t="shared" si="14"/>
        <v>0</v>
      </c>
      <c r="J72" s="181"/>
      <c r="K72" s="76"/>
      <c r="L72" s="76"/>
      <c r="M72" s="75">
        <f t="shared" si="15"/>
        <v>0</v>
      </c>
    </row>
    <row r="73" spans="1:13" x14ac:dyDescent="0.25">
      <c r="A73" s="47">
        <v>15</v>
      </c>
      <c r="B73" s="47"/>
      <c r="C73" s="76"/>
      <c r="D73" s="76"/>
      <c r="E73" s="75"/>
      <c r="F73" s="181"/>
      <c r="G73" s="76"/>
      <c r="H73" s="76"/>
      <c r="I73" s="75"/>
      <c r="J73" s="181"/>
      <c r="K73" s="76"/>
      <c r="L73" s="76"/>
      <c r="M73" s="75"/>
    </row>
    <row r="74" spans="1:13" x14ac:dyDescent="0.25">
      <c r="A74" s="32"/>
      <c r="B74" s="47" t="s">
        <v>56</v>
      </c>
      <c r="C74" s="169">
        <f>SUM(C59:C72)</f>
        <v>1217</v>
      </c>
      <c r="D74" s="170"/>
      <c r="E74" s="171"/>
      <c r="F74" s="181"/>
      <c r="G74" s="177">
        <f>SUM(G59:G72)</f>
        <v>1245</v>
      </c>
      <c r="H74" s="178"/>
      <c r="I74" s="179"/>
      <c r="J74" s="181"/>
      <c r="K74" s="177">
        <f>SUM(K59:K72)</f>
        <v>1229</v>
      </c>
      <c r="L74" s="178"/>
      <c r="M74" s="179"/>
    </row>
    <row r="75" spans="1:13" x14ac:dyDescent="0.25">
      <c r="A75" s="32"/>
      <c r="B75" s="47" t="s">
        <v>57</v>
      </c>
      <c r="C75" s="169">
        <f>SUM(E59:E72)/C74</f>
        <v>5.8834084133114217</v>
      </c>
      <c r="D75" s="170"/>
      <c r="E75" s="171"/>
      <c r="F75" s="182"/>
      <c r="G75" s="177">
        <f>SUM(I59:I72)/G74</f>
        <v>5.8760995606425706</v>
      </c>
      <c r="H75" s="178"/>
      <c r="I75" s="179"/>
      <c r="J75" s="182"/>
      <c r="K75" s="177">
        <f>SUM(M59:M72)/K74</f>
        <v>6.5311987144019534</v>
      </c>
      <c r="L75" s="178"/>
      <c r="M75" s="179"/>
    </row>
    <row r="76" spans="1:13" x14ac:dyDescent="0.25">
      <c r="D76" t="s">
        <v>61</v>
      </c>
      <c r="E76" t="s">
        <v>62</v>
      </c>
      <c r="H76" t="s">
        <v>61</v>
      </c>
      <c r="I76" t="s">
        <v>62</v>
      </c>
      <c r="L76" t="s">
        <v>61</v>
      </c>
      <c r="M76" t="s">
        <v>62</v>
      </c>
    </row>
    <row r="77" spans="1:13" x14ac:dyDescent="0.25">
      <c r="B77" s="47" t="s">
        <v>60</v>
      </c>
      <c r="C77" s="76">
        <v>28782</v>
      </c>
      <c r="D77" s="76">
        <v>0.33060699999999998</v>
      </c>
      <c r="E77" s="75">
        <v>1.8253999999999999E-2</v>
      </c>
      <c r="G77" s="76">
        <v>28789</v>
      </c>
      <c r="H77" s="76">
        <v>0.305176</v>
      </c>
      <c r="I77" s="75">
        <v>1.5193999999999999E-2</v>
      </c>
      <c r="K77" s="76">
        <v>28774</v>
      </c>
      <c r="L77" s="76">
        <v>0.27974399999999999</v>
      </c>
      <c r="M77" s="75">
        <v>1.6989000000000001E-2</v>
      </c>
    </row>
    <row r="78" spans="1:13" x14ac:dyDescent="0.25">
      <c r="D78" t="s">
        <v>68</v>
      </c>
      <c r="H78" t="s">
        <v>69</v>
      </c>
      <c r="L78" t="s">
        <v>70</v>
      </c>
    </row>
    <row r="80" spans="1:13" x14ac:dyDescent="0.25">
      <c r="C80" t="s">
        <v>93</v>
      </c>
      <c r="D80" t="s">
        <v>94</v>
      </c>
      <c r="G80" t="s">
        <v>95</v>
      </c>
      <c r="H80" t="s">
        <v>96</v>
      </c>
    </row>
    <row r="83" spans="1:13" x14ac:dyDescent="0.25">
      <c r="A83" s="167" t="s">
        <v>121</v>
      </c>
      <c r="B83" s="167"/>
      <c r="C83" s="167" t="s">
        <v>138</v>
      </c>
      <c r="D83" s="167"/>
      <c r="E83" s="167"/>
      <c r="F83" s="180"/>
      <c r="G83" s="167" t="s">
        <v>139</v>
      </c>
      <c r="H83" s="167"/>
      <c r="I83" s="167"/>
      <c r="J83" s="180"/>
      <c r="K83" s="167" t="s">
        <v>140</v>
      </c>
      <c r="L83" s="167"/>
      <c r="M83" s="167"/>
    </row>
    <row r="84" spans="1:13" x14ac:dyDescent="0.25">
      <c r="A84" s="167"/>
      <c r="B84" s="167"/>
      <c r="C84" s="167"/>
      <c r="D84" s="167"/>
      <c r="E84" s="167"/>
      <c r="F84" s="181"/>
      <c r="G84" s="167"/>
      <c r="H84" s="167"/>
      <c r="I84" s="167"/>
      <c r="J84" s="181"/>
      <c r="K84" s="167"/>
      <c r="L84" s="167"/>
      <c r="M84" s="167"/>
    </row>
    <row r="85" spans="1:13" x14ac:dyDescent="0.25">
      <c r="A85" s="47"/>
      <c r="B85" s="47" t="s">
        <v>19</v>
      </c>
      <c r="C85" s="75" t="s">
        <v>53</v>
      </c>
      <c r="D85" s="75" t="s">
        <v>54</v>
      </c>
      <c r="E85" s="75" t="s">
        <v>55</v>
      </c>
      <c r="F85" s="181"/>
      <c r="G85" s="75" t="s">
        <v>53</v>
      </c>
      <c r="H85" s="75" t="s">
        <v>54</v>
      </c>
      <c r="I85" s="75" t="s">
        <v>55</v>
      </c>
      <c r="J85" s="181"/>
      <c r="K85" s="75" t="s">
        <v>53</v>
      </c>
      <c r="L85" s="75" t="s">
        <v>54</v>
      </c>
      <c r="M85" s="75" t="s">
        <v>55</v>
      </c>
    </row>
    <row r="86" spans="1:13" x14ac:dyDescent="0.25">
      <c r="A86" s="47">
        <v>1</v>
      </c>
      <c r="B86" s="47" t="s">
        <v>35</v>
      </c>
      <c r="C86" s="76">
        <v>282</v>
      </c>
      <c r="D86" s="76">
        <v>4.4332229999999999</v>
      </c>
      <c r="E86" s="75">
        <f>C86*D86</f>
        <v>1250.1688859999999</v>
      </c>
      <c r="F86" s="181"/>
      <c r="G86" s="76">
        <v>271</v>
      </c>
      <c r="H86" s="76">
        <v>3.9691689999999999</v>
      </c>
      <c r="I86" s="75">
        <f>G86*H86</f>
        <v>1075.6447989999999</v>
      </c>
      <c r="J86" s="181"/>
      <c r="K86" s="76">
        <v>270</v>
      </c>
      <c r="L86" s="76">
        <v>4.0247409999999997</v>
      </c>
      <c r="M86" s="75">
        <f>K86*L86</f>
        <v>1086.6800699999999</v>
      </c>
    </row>
    <row r="87" spans="1:13" x14ac:dyDescent="0.25">
      <c r="A87" s="47">
        <v>2</v>
      </c>
      <c r="B87" s="47" t="s">
        <v>36</v>
      </c>
      <c r="C87" s="76">
        <v>121</v>
      </c>
      <c r="D87" s="76">
        <v>4.2541500000000001</v>
      </c>
      <c r="E87" s="75">
        <f t="shared" ref="E87:E99" si="16">C87*D87</f>
        <v>514.75215000000003</v>
      </c>
      <c r="F87" s="181"/>
      <c r="G87" s="76">
        <v>134</v>
      </c>
      <c r="H87" s="76">
        <v>4.0756040000000002</v>
      </c>
      <c r="I87" s="75">
        <f t="shared" ref="I87:I99" si="17">G87*H87</f>
        <v>546.13093600000002</v>
      </c>
      <c r="J87" s="181"/>
      <c r="K87" s="76">
        <v>133</v>
      </c>
      <c r="L87" s="76">
        <v>4.1095119999999996</v>
      </c>
      <c r="M87" s="75">
        <f t="shared" ref="M87:M99" si="18">K87*L87</f>
        <v>546.56509599999993</v>
      </c>
    </row>
    <row r="88" spans="1:13" x14ac:dyDescent="0.25">
      <c r="A88" s="47">
        <v>3</v>
      </c>
      <c r="B88" s="47" t="s">
        <v>27</v>
      </c>
      <c r="C88" s="76">
        <v>321</v>
      </c>
      <c r="D88" s="76">
        <v>7.1809149999999997</v>
      </c>
      <c r="E88" s="75">
        <f t="shared" si="16"/>
        <v>2305.073715</v>
      </c>
      <c r="F88" s="181"/>
      <c r="G88" s="76">
        <v>319</v>
      </c>
      <c r="H88" s="76">
        <v>7.1942360000000001</v>
      </c>
      <c r="I88" s="75">
        <f t="shared" si="17"/>
        <v>2294.961284</v>
      </c>
      <c r="J88" s="181"/>
      <c r="K88" s="76">
        <v>319</v>
      </c>
      <c r="L88" s="76">
        <v>7.2079610000000001</v>
      </c>
      <c r="M88" s="75">
        <f t="shared" si="18"/>
        <v>2299.339559</v>
      </c>
    </row>
    <row r="89" spans="1:13" s="120" customFormat="1" x14ac:dyDescent="0.25">
      <c r="A89" s="129">
        <v>4</v>
      </c>
      <c r="B89" s="129" t="s">
        <v>28</v>
      </c>
      <c r="C89" s="73">
        <v>146</v>
      </c>
      <c r="D89" s="73">
        <v>4.7760009999999999</v>
      </c>
      <c r="E89" s="73">
        <f t="shared" si="16"/>
        <v>697.29614600000002</v>
      </c>
      <c r="F89" s="181"/>
      <c r="G89" s="73">
        <v>146</v>
      </c>
      <c r="H89" s="73">
        <v>4.9514769999999997</v>
      </c>
      <c r="I89" s="73">
        <f t="shared" si="17"/>
        <v>722.91564199999993</v>
      </c>
      <c r="J89" s="181"/>
      <c r="K89" s="73">
        <v>146</v>
      </c>
      <c r="L89" s="73">
        <v>6.0670640000000002</v>
      </c>
      <c r="M89" s="73">
        <f t="shared" si="18"/>
        <v>885.79134399999998</v>
      </c>
    </row>
    <row r="90" spans="1:13" s="132" customFormat="1" x14ac:dyDescent="0.25">
      <c r="A90" s="130">
        <v>5</v>
      </c>
      <c r="B90" s="130" t="s">
        <v>25</v>
      </c>
      <c r="C90" s="131">
        <v>39</v>
      </c>
      <c r="D90" s="131">
        <v>10.048548</v>
      </c>
      <c r="E90" s="131">
        <f t="shared" si="16"/>
        <v>391.893372</v>
      </c>
      <c r="F90" s="181"/>
      <c r="G90" s="131">
        <v>37</v>
      </c>
      <c r="H90" s="131">
        <v>11.014938000000001</v>
      </c>
      <c r="I90" s="131">
        <f t="shared" si="17"/>
        <v>407.55270600000006</v>
      </c>
      <c r="J90" s="181"/>
      <c r="K90" s="131">
        <v>38</v>
      </c>
      <c r="L90" s="131">
        <v>22.932687999999999</v>
      </c>
      <c r="M90" s="131">
        <f t="shared" si="18"/>
        <v>871.44214399999998</v>
      </c>
    </row>
    <row r="91" spans="1:13" x14ac:dyDescent="0.25">
      <c r="A91" s="47">
        <v>6</v>
      </c>
      <c r="B91" s="47" t="s">
        <v>29</v>
      </c>
      <c r="C91" s="76">
        <v>302</v>
      </c>
      <c r="D91" s="76">
        <v>5.2292620000000003</v>
      </c>
      <c r="E91" s="75">
        <f t="shared" si="16"/>
        <v>1579.237124</v>
      </c>
      <c r="F91" s="181"/>
      <c r="G91" s="76">
        <v>306</v>
      </c>
      <c r="H91" s="76">
        <v>5.2592790000000003</v>
      </c>
      <c r="I91" s="75">
        <f t="shared" si="17"/>
        <v>1609.3393740000001</v>
      </c>
      <c r="J91" s="181"/>
      <c r="K91" s="76">
        <v>303</v>
      </c>
      <c r="L91" s="76">
        <v>5.938212</v>
      </c>
      <c r="M91" s="75">
        <f t="shared" si="18"/>
        <v>1799.2782360000001</v>
      </c>
    </row>
    <row r="92" spans="1:13" x14ac:dyDescent="0.25">
      <c r="A92" s="47">
        <v>7</v>
      </c>
      <c r="B92" s="47"/>
      <c r="C92" s="76"/>
      <c r="D92" s="76"/>
      <c r="E92" s="75">
        <f t="shared" si="16"/>
        <v>0</v>
      </c>
      <c r="F92" s="181"/>
      <c r="G92" s="76"/>
      <c r="H92" s="76"/>
      <c r="I92" s="75">
        <f t="shared" si="17"/>
        <v>0</v>
      </c>
      <c r="J92" s="181"/>
      <c r="K92" s="76"/>
      <c r="L92" s="76"/>
      <c r="M92" s="75">
        <f t="shared" si="18"/>
        <v>0</v>
      </c>
    </row>
    <row r="93" spans="1:13" x14ac:dyDescent="0.25">
      <c r="A93" s="47">
        <v>8</v>
      </c>
      <c r="B93" s="47"/>
      <c r="C93" s="76"/>
      <c r="D93" s="76"/>
      <c r="E93" s="75">
        <f t="shared" si="16"/>
        <v>0</v>
      </c>
      <c r="F93" s="181"/>
      <c r="G93" s="76"/>
      <c r="H93" s="76"/>
      <c r="I93" s="75">
        <f t="shared" si="17"/>
        <v>0</v>
      </c>
      <c r="J93" s="181"/>
      <c r="K93" s="76"/>
      <c r="L93" s="76"/>
      <c r="M93" s="75">
        <f t="shared" si="18"/>
        <v>0</v>
      </c>
    </row>
    <row r="94" spans="1:13" x14ac:dyDescent="0.25">
      <c r="A94" s="47">
        <v>9</v>
      </c>
      <c r="B94" s="47"/>
      <c r="C94" s="76"/>
      <c r="D94" s="76"/>
      <c r="E94" s="75">
        <f t="shared" si="16"/>
        <v>0</v>
      </c>
      <c r="F94" s="181"/>
      <c r="G94" s="76"/>
      <c r="H94" s="76"/>
      <c r="I94" s="75">
        <f t="shared" si="17"/>
        <v>0</v>
      </c>
      <c r="J94" s="181"/>
      <c r="K94" s="76"/>
      <c r="L94" s="76"/>
      <c r="M94" s="75">
        <f t="shared" si="18"/>
        <v>0</v>
      </c>
    </row>
    <row r="95" spans="1:13" x14ac:dyDescent="0.25">
      <c r="A95" s="47">
        <v>10</v>
      </c>
      <c r="B95" s="47"/>
      <c r="C95" s="76"/>
      <c r="D95" s="76"/>
      <c r="E95" s="75">
        <f t="shared" si="16"/>
        <v>0</v>
      </c>
      <c r="F95" s="181"/>
      <c r="G95" s="76"/>
      <c r="H95" s="76"/>
      <c r="I95" s="75">
        <f t="shared" si="17"/>
        <v>0</v>
      </c>
      <c r="J95" s="181"/>
      <c r="K95" s="76"/>
      <c r="L95" s="76"/>
      <c r="M95" s="75">
        <f t="shared" si="18"/>
        <v>0</v>
      </c>
    </row>
    <row r="96" spans="1:13" x14ac:dyDescent="0.25">
      <c r="A96" s="47">
        <v>11</v>
      </c>
      <c r="B96" s="47"/>
      <c r="C96" s="76"/>
      <c r="D96" s="76"/>
      <c r="E96" s="75">
        <f t="shared" si="16"/>
        <v>0</v>
      </c>
      <c r="F96" s="181"/>
      <c r="G96" s="76"/>
      <c r="H96" s="76"/>
      <c r="I96" s="75">
        <f t="shared" si="17"/>
        <v>0</v>
      </c>
      <c r="J96" s="181"/>
      <c r="K96" s="76"/>
      <c r="L96" s="76"/>
      <c r="M96" s="75">
        <f t="shared" si="18"/>
        <v>0</v>
      </c>
    </row>
    <row r="97" spans="1:21" x14ac:dyDescent="0.25">
      <c r="A97" s="47">
        <v>12</v>
      </c>
      <c r="B97" s="47"/>
      <c r="C97" s="76"/>
      <c r="D97" s="76"/>
      <c r="E97" s="75">
        <f t="shared" si="16"/>
        <v>0</v>
      </c>
      <c r="F97" s="181"/>
      <c r="G97" s="76"/>
      <c r="H97" s="76"/>
      <c r="I97" s="75">
        <f t="shared" si="17"/>
        <v>0</v>
      </c>
      <c r="J97" s="181"/>
      <c r="K97" s="76"/>
      <c r="L97" s="76"/>
      <c r="M97" s="75">
        <f t="shared" si="18"/>
        <v>0</v>
      </c>
    </row>
    <row r="98" spans="1:21" x14ac:dyDescent="0.25">
      <c r="A98" s="47">
        <v>13</v>
      </c>
      <c r="B98" s="47"/>
      <c r="C98" s="76"/>
      <c r="D98" s="76"/>
      <c r="E98" s="75">
        <f t="shared" si="16"/>
        <v>0</v>
      </c>
      <c r="F98" s="181"/>
      <c r="G98" s="76"/>
      <c r="H98" s="76"/>
      <c r="I98" s="75">
        <f t="shared" si="17"/>
        <v>0</v>
      </c>
      <c r="J98" s="181"/>
      <c r="K98" s="76"/>
      <c r="L98" s="76"/>
      <c r="M98" s="75">
        <f t="shared" si="18"/>
        <v>0</v>
      </c>
    </row>
    <row r="99" spans="1:21" x14ac:dyDescent="0.25">
      <c r="A99" s="47">
        <v>14</v>
      </c>
      <c r="B99" s="47"/>
      <c r="C99" s="76"/>
      <c r="D99" s="76"/>
      <c r="E99" s="75">
        <f t="shared" si="16"/>
        <v>0</v>
      </c>
      <c r="F99" s="181"/>
      <c r="G99" s="76"/>
      <c r="H99" s="76"/>
      <c r="I99" s="75">
        <f t="shared" si="17"/>
        <v>0</v>
      </c>
      <c r="J99" s="181"/>
      <c r="K99" s="76"/>
      <c r="L99" s="76"/>
      <c r="M99" s="75">
        <f t="shared" si="18"/>
        <v>0</v>
      </c>
    </row>
    <row r="100" spans="1:21" x14ac:dyDescent="0.25">
      <c r="A100" s="47">
        <v>15</v>
      </c>
      <c r="B100" s="47"/>
      <c r="C100" s="76"/>
      <c r="D100" s="76"/>
      <c r="E100" s="75"/>
      <c r="F100" s="181"/>
      <c r="G100" s="76"/>
      <c r="H100" s="76"/>
      <c r="I100" s="75"/>
      <c r="J100" s="181"/>
      <c r="K100" s="76"/>
      <c r="L100" s="76"/>
      <c r="M100" s="75"/>
    </row>
    <row r="101" spans="1:21" x14ac:dyDescent="0.25">
      <c r="A101" s="32"/>
      <c r="B101" s="47" t="s">
        <v>56</v>
      </c>
      <c r="C101" s="169">
        <f>SUM(C86:C99)</f>
        <v>1211</v>
      </c>
      <c r="D101" s="170"/>
      <c r="E101" s="171"/>
      <c r="F101" s="181"/>
      <c r="G101" s="177">
        <f>SUM(G86:G99)</f>
        <v>1213</v>
      </c>
      <c r="H101" s="178"/>
      <c r="I101" s="179"/>
      <c r="J101" s="181"/>
      <c r="K101" s="177">
        <f>SUM(K86:K99)</f>
        <v>1209</v>
      </c>
      <c r="L101" s="178"/>
      <c r="M101" s="179"/>
    </row>
    <row r="102" spans="1:21" x14ac:dyDescent="0.25">
      <c r="A102" s="32"/>
      <c r="B102" s="47" t="s">
        <v>57</v>
      </c>
      <c r="C102" s="169">
        <f>SUM(E86:E99)/C101</f>
        <v>5.5643446680429394</v>
      </c>
      <c r="D102" s="170"/>
      <c r="E102" s="171"/>
      <c r="F102" s="182"/>
      <c r="G102" s="177">
        <f>SUM(I86:I99)/G101</f>
        <v>5.4876708499587803</v>
      </c>
      <c r="H102" s="178"/>
      <c r="I102" s="179"/>
      <c r="J102" s="182"/>
      <c r="K102" s="177">
        <f>SUM(M86:M99)/K101</f>
        <v>6.19445529280397</v>
      </c>
      <c r="L102" s="178"/>
      <c r="M102" s="179"/>
    </row>
    <row r="103" spans="1:21" x14ac:dyDescent="0.25">
      <c r="D103" t="s">
        <v>61</v>
      </c>
      <c r="E103" t="s">
        <v>62</v>
      </c>
      <c r="H103" t="s">
        <v>61</v>
      </c>
      <c r="I103" t="s">
        <v>62</v>
      </c>
      <c r="L103" t="s">
        <v>61</v>
      </c>
      <c r="M103" t="s">
        <v>62</v>
      </c>
    </row>
    <row r="104" spans="1:21" x14ac:dyDescent="0.25">
      <c r="B104" s="47" t="s">
        <v>60</v>
      </c>
      <c r="C104" s="76">
        <v>28793</v>
      </c>
      <c r="D104" s="76">
        <v>0.33060699999999998</v>
      </c>
      <c r="E104" s="75">
        <v>2.5495E-2</v>
      </c>
      <c r="G104" s="76">
        <v>28783</v>
      </c>
      <c r="H104" s="76">
        <v>0.35603800000000002</v>
      </c>
      <c r="I104" s="75">
        <v>2.1378000000000001E-2</v>
      </c>
      <c r="K104" s="76">
        <v>28790</v>
      </c>
      <c r="L104" s="76">
        <v>0.35603800000000002</v>
      </c>
      <c r="M104" s="75">
        <v>3.0454999999999999E-2</v>
      </c>
    </row>
    <row r="105" spans="1:21" x14ac:dyDescent="0.25">
      <c r="D105" t="s">
        <v>68</v>
      </c>
      <c r="H105" t="s">
        <v>69</v>
      </c>
      <c r="L105" t="s">
        <v>70</v>
      </c>
    </row>
    <row r="107" spans="1:21" x14ac:dyDescent="0.25">
      <c r="C107" t="s">
        <v>93</v>
      </c>
      <c r="D107" t="s">
        <v>94</v>
      </c>
      <c r="G107" t="s">
        <v>95</v>
      </c>
      <c r="H107" t="s">
        <v>96</v>
      </c>
    </row>
    <row r="109" spans="1:21" x14ac:dyDescent="0.25">
      <c r="A109" s="167" t="s">
        <v>121</v>
      </c>
      <c r="B109" s="167"/>
      <c r="C109" s="167" t="s">
        <v>152</v>
      </c>
      <c r="D109" s="167"/>
      <c r="E109" s="167"/>
      <c r="F109" s="180"/>
      <c r="G109" s="167" t="s">
        <v>153</v>
      </c>
      <c r="H109" s="167"/>
      <c r="I109" s="167"/>
      <c r="J109" s="180"/>
      <c r="K109" s="167" t="s">
        <v>154</v>
      </c>
      <c r="L109" s="167"/>
      <c r="M109" s="167"/>
      <c r="N109" s="180"/>
      <c r="O109" s="167" t="s">
        <v>158</v>
      </c>
      <c r="P109" s="167"/>
      <c r="Q109" s="167"/>
      <c r="R109" s="180"/>
      <c r="S109" s="167" t="s">
        <v>159</v>
      </c>
      <c r="T109" s="167"/>
      <c r="U109" s="167"/>
    </row>
    <row r="110" spans="1:21" x14ac:dyDescent="0.25">
      <c r="A110" s="167"/>
      <c r="B110" s="167"/>
      <c r="C110" s="167"/>
      <c r="D110" s="167"/>
      <c r="E110" s="167"/>
      <c r="F110" s="181"/>
      <c r="G110" s="167"/>
      <c r="H110" s="167"/>
      <c r="I110" s="167"/>
      <c r="J110" s="181"/>
      <c r="K110" s="167"/>
      <c r="L110" s="167"/>
      <c r="M110" s="167"/>
      <c r="N110" s="181"/>
      <c r="O110" s="167"/>
      <c r="P110" s="167"/>
      <c r="Q110" s="167"/>
      <c r="R110" s="181"/>
      <c r="S110" s="167"/>
      <c r="T110" s="167"/>
      <c r="U110" s="167"/>
    </row>
    <row r="111" spans="1:21" x14ac:dyDescent="0.25">
      <c r="A111" s="47"/>
      <c r="B111" s="47" t="s">
        <v>19</v>
      </c>
      <c r="C111" s="75" t="s">
        <v>53</v>
      </c>
      <c r="D111" s="75" t="s">
        <v>54</v>
      </c>
      <c r="E111" s="75" t="s">
        <v>55</v>
      </c>
      <c r="F111" s="181"/>
      <c r="G111" s="75" t="s">
        <v>53</v>
      </c>
      <c r="H111" s="75" t="s">
        <v>54</v>
      </c>
      <c r="I111" s="75" t="s">
        <v>55</v>
      </c>
      <c r="J111" s="181"/>
      <c r="K111" s="75" t="s">
        <v>53</v>
      </c>
      <c r="L111" s="75" t="s">
        <v>54</v>
      </c>
      <c r="M111" s="75" t="s">
        <v>55</v>
      </c>
      <c r="N111" s="181"/>
      <c r="O111" s="75" t="s">
        <v>53</v>
      </c>
      <c r="P111" s="75" t="s">
        <v>54</v>
      </c>
      <c r="Q111" s="75" t="s">
        <v>55</v>
      </c>
      <c r="R111" s="181"/>
      <c r="S111" s="75" t="s">
        <v>53</v>
      </c>
      <c r="T111" s="75" t="s">
        <v>54</v>
      </c>
      <c r="U111" s="75" t="s">
        <v>55</v>
      </c>
    </row>
    <row r="112" spans="1:21" x14ac:dyDescent="0.25">
      <c r="A112" s="47">
        <v>1</v>
      </c>
      <c r="B112" s="47" t="s">
        <v>35</v>
      </c>
      <c r="C112" s="76">
        <v>281</v>
      </c>
      <c r="D112" s="76">
        <v>4.1970749999999999</v>
      </c>
      <c r="E112" s="75">
        <f>C112*D112</f>
        <v>1179.3780750000001</v>
      </c>
      <c r="F112" s="181"/>
      <c r="G112" s="76">
        <v>285</v>
      </c>
      <c r="H112" s="76">
        <v>4.2143319999999997</v>
      </c>
      <c r="I112" s="75">
        <f>G112*H112</f>
        <v>1201.0846199999999</v>
      </c>
      <c r="J112" s="181"/>
      <c r="K112" s="76">
        <v>281</v>
      </c>
      <c r="L112" s="76">
        <v>4.1752770000000003</v>
      </c>
      <c r="M112" s="75">
        <f>K112*L112</f>
        <v>1173.252837</v>
      </c>
      <c r="N112" s="181"/>
      <c r="O112" s="76">
        <v>282</v>
      </c>
      <c r="P112" s="76">
        <v>4.2524790000000001</v>
      </c>
      <c r="Q112" s="75">
        <f>O112*P112</f>
        <v>1199.1990780000001</v>
      </c>
      <c r="R112" s="181"/>
      <c r="S112" s="76">
        <v>280</v>
      </c>
      <c r="T112" s="76">
        <v>4.1271389999999997</v>
      </c>
      <c r="U112" s="75">
        <f>S112*T112</f>
        <v>1155.5989199999999</v>
      </c>
    </row>
    <row r="113" spans="1:21" x14ac:dyDescent="0.25">
      <c r="A113" s="47">
        <v>2</v>
      </c>
      <c r="B113" s="47" t="s">
        <v>36</v>
      </c>
      <c r="C113" s="76">
        <v>137</v>
      </c>
      <c r="D113" s="76">
        <v>4.2642860000000002</v>
      </c>
      <c r="E113" s="75">
        <f t="shared" ref="E113:E125" si="19">C113*D113</f>
        <v>584.20718199999999</v>
      </c>
      <c r="F113" s="181"/>
      <c r="G113" s="76">
        <v>137</v>
      </c>
      <c r="H113" s="76">
        <v>4.1879920000000004</v>
      </c>
      <c r="I113" s="75">
        <f t="shared" ref="I113:I125" si="20">G113*H113</f>
        <v>573.75490400000001</v>
      </c>
      <c r="J113" s="181"/>
      <c r="K113" s="76">
        <v>136</v>
      </c>
      <c r="L113" s="76">
        <v>4.2942590000000003</v>
      </c>
      <c r="M113" s="75">
        <f t="shared" ref="M113:M125" si="21">K113*L113</f>
        <v>584.01922400000001</v>
      </c>
      <c r="N113" s="181"/>
      <c r="O113" s="76">
        <v>138</v>
      </c>
      <c r="P113" s="76">
        <v>4.3442129999999999</v>
      </c>
      <c r="Q113" s="75">
        <f t="shared" ref="Q113:Q125" si="22">O113*P113</f>
        <v>599.501394</v>
      </c>
      <c r="R113" s="181"/>
      <c r="S113" s="76">
        <v>135</v>
      </c>
      <c r="T113" s="76">
        <v>4.3280329999999996</v>
      </c>
      <c r="U113" s="75">
        <f t="shared" ref="U113:U125" si="23">S113*T113</f>
        <v>584.28445499999998</v>
      </c>
    </row>
    <row r="114" spans="1:21" x14ac:dyDescent="0.25">
      <c r="A114" s="47">
        <v>3</v>
      </c>
      <c r="B114" s="47" t="s">
        <v>27</v>
      </c>
      <c r="C114" s="76">
        <v>320</v>
      </c>
      <c r="D114" s="76">
        <v>7.901986</v>
      </c>
      <c r="E114" s="75">
        <f t="shared" si="19"/>
        <v>2528.6355199999998</v>
      </c>
      <c r="F114" s="181"/>
      <c r="G114" s="76">
        <v>321</v>
      </c>
      <c r="H114" s="76">
        <v>7.8543029999999998</v>
      </c>
      <c r="I114" s="75">
        <f t="shared" si="20"/>
        <v>2521.2312630000001</v>
      </c>
      <c r="J114" s="181"/>
      <c r="K114" s="76">
        <v>324</v>
      </c>
      <c r="L114" s="76">
        <v>7.8030429999999997</v>
      </c>
      <c r="M114" s="75">
        <f t="shared" si="21"/>
        <v>2528.1859319999999</v>
      </c>
      <c r="N114" s="181"/>
      <c r="O114" s="76">
        <v>324</v>
      </c>
      <c r="P114" s="76">
        <v>7.7589350000000001</v>
      </c>
      <c r="Q114" s="75">
        <f t="shared" si="22"/>
        <v>2513.8949400000001</v>
      </c>
      <c r="R114" s="181"/>
      <c r="S114" s="76">
        <v>325</v>
      </c>
      <c r="T114" s="76">
        <v>7.8524070000000004</v>
      </c>
      <c r="U114" s="75">
        <f t="shared" si="23"/>
        <v>2552.032275</v>
      </c>
    </row>
    <row r="115" spans="1:21" s="120" customFormat="1" x14ac:dyDescent="0.25">
      <c r="A115" s="129">
        <v>4</v>
      </c>
      <c r="B115" s="129" t="s">
        <v>28</v>
      </c>
      <c r="C115" s="73">
        <v>145</v>
      </c>
      <c r="D115" s="73">
        <v>4.9441980000000001</v>
      </c>
      <c r="E115" s="73">
        <f t="shared" si="19"/>
        <v>716.90871000000004</v>
      </c>
      <c r="F115" s="181"/>
      <c r="G115" s="73">
        <v>144</v>
      </c>
      <c r="H115" s="73">
        <v>5.1511570000000004</v>
      </c>
      <c r="I115" s="73">
        <f t="shared" si="20"/>
        <v>741.76660800000002</v>
      </c>
      <c r="J115" s="181"/>
      <c r="K115" s="73">
        <v>140</v>
      </c>
      <c r="L115" s="73">
        <v>5.8237709999999998</v>
      </c>
      <c r="M115" s="73">
        <f t="shared" si="21"/>
        <v>815.32794000000001</v>
      </c>
      <c r="N115" s="181"/>
      <c r="O115" s="73">
        <v>138</v>
      </c>
      <c r="P115" s="73">
        <v>6.1062399999999997</v>
      </c>
      <c r="Q115" s="73">
        <f t="shared" si="22"/>
        <v>842.66111999999998</v>
      </c>
      <c r="R115" s="181"/>
      <c r="S115" s="73">
        <v>145</v>
      </c>
      <c r="T115" s="73">
        <v>7.4969760000000001</v>
      </c>
      <c r="U115" s="73">
        <f t="shared" si="23"/>
        <v>1087.06152</v>
      </c>
    </row>
    <row r="116" spans="1:21" s="132" customFormat="1" x14ac:dyDescent="0.25">
      <c r="A116" s="130">
        <v>5</v>
      </c>
      <c r="B116" s="130" t="s">
        <v>25</v>
      </c>
      <c r="C116" s="131">
        <v>39</v>
      </c>
      <c r="D116" s="131">
        <v>10.547637999999999</v>
      </c>
      <c r="E116" s="131">
        <f t="shared" si="19"/>
        <v>411.35788199999996</v>
      </c>
      <c r="F116" s="181"/>
      <c r="G116" s="131">
        <v>38</v>
      </c>
      <c r="H116" s="131">
        <v>11.189778</v>
      </c>
      <c r="I116" s="131">
        <f t="shared" si="20"/>
        <v>425.21156400000001</v>
      </c>
      <c r="J116" s="181"/>
      <c r="K116" s="131">
        <v>38</v>
      </c>
      <c r="L116" s="131">
        <v>21.659002999999998</v>
      </c>
      <c r="M116" s="131">
        <f t="shared" si="21"/>
        <v>823.04211399999997</v>
      </c>
      <c r="N116" s="181"/>
      <c r="O116" s="131">
        <v>38</v>
      </c>
      <c r="P116" s="131">
        <v>22.529319000000001</v>
      </c>
      <c r="Q116" s="131">
        <f t="shared" si="22"/>
        <v>856.11412200000007</v>
      </c>
      <c r="R116" s="181"/>
      <c r="S116" s="131">
        <v>34</v>
      </c>
      <c r="T116" s="131">
        <v>27.734665</v>
      </c>
      <c r="U116" s="131">
        <f t="shared" si="23"/>
        <v>942.97861</v>
      </c>
    </row>
    <row r="117" spans="1:21" x14ac:dyDescent="0.25">
      <c r="A117" s="47">
        <v>6</v>
      </c>
      <c r="B117" s="47" t="s">
        <v>29</v>
      </c>
      <c r="C117" s="76">
        <v>307</v>
      </c>
      <c r="D117" s="76">
        <v>5.4598110000000002</v>
      </c>
      <c r="E117" s="75">
        <f t="shared" si="19"/>
        <v>1676.161977</v>
      </c>
      <c r="F117" s="181"/>
      <c r="G117" s="76">
        <v>321</v>
      </c>
      <c r="H117" s="76">
        <v>5.2849449999999996</v>
      </c>
      <c r="I117" s="75">
        <f t="shared" si="20"/>
        <v>1696.4673449999998</v>
      </c>
      <c r="J117" s="181"/>
      <c r="K117" s="76">
        <v>301</v>
      </c>
      <c r="L117" s="76">
        <v>6.0513810000000001</v>
      </c>
      <c r="M117" s="75">
        <f t="shared" si="21"/>
        <v>1821.4656810000001</v>
      </c>
      <c r="N117" s="181"/>
      <c r="O117" s="76">
        <v>305</v>
      </c>
      <c r="P117" s="76">
        <v>5.9212579999999999</v>
      </c>
      <c r="Q117" s="75">
        <f t="shared" si="22"/>
        <v>1805.98369</v>
      </c>
      <c r="R117" s="181"/>
      <c r="S117" s="76">
        <v>306</v>
      </c>
      <c r="T117" s="76">
        <v>6.6625870000000003</v>
      </c>
      <c r="U117" s="75">
        <f t="shared" si="23"/>
        <v>2038.751622</v>
      </c>
    </row>
    <row r="118" spans="1:21" x14ac:dyDescent="0.25">
      <c r="A118" s="47">
        <v>7</v>
      </c>
      <c r="B118" s="47"/>
      <c r="C118" s="76"/>
      <c r="D118" s="76"/>
      <c r="E118" s="75">
        <f t="shared" si="19"/>
        <v>0</v>
      </c>
      <c r="F118" s="181"/>
      <c r="G118" s="76"/>
      <c r="H118" s="76"/>
      <c r="I118" s="75">
        <f t="shared" si="20"/>
        <v>0</v>
      </c>
      <c r="J118" s="181"/>
      <c r="K118" s="76"/>
      <c r="L118" s="76"/>
      <c r="M118" s="75">
        <f t="shared" si="21"/>
        <v>0</v>
      </c>
      <c r="N118" s="181"/>
      <c r="O118" s="76"/>
      <c r="P118" s="76"/>
      <c r="Q118" s="75">
        <f t="shared" si="22"/>
        <v>0</v>
      </c>
      <c r="R118" s="181"/>
      <c r="S118" s="76"/>
      <c r="T118" s="76"/>
      <c r="U118" s="75">
        <f t="shared" si="23"/>
        <v>0</v>
      </c>
    </row>
    <row r="119" spans="1:21" x14ac:dyDescent="0.25">
      <c r="A119" s="47">
        <v>8</v>
      </c>
      <c r="B119" s="47"/>
      <c r="C119" s="76"/>
      <c r="D119" s="76"/>
      <c r="E119" s="75">
        <f t="shared" si="19"/>
        <v>0</v>
      </c>
      <c r="F119" s="181"/>
      <c r="G119" s="76"/>
      <c r="H119" s="76"/>
      <c r="I119" s="75">
        <f t="shared" si="20"/>
        <v>0</v>
      </c>
      <c r="J119" s="181"/>
      <c r="K119" s="76"/>
      <c r="L119" s="76"/>
      <c r="M119" s="75">
        <f t="shared" si="21"/>
        <v>0</v>
      </c>
      <c r="N119" s="181"/>
      <c r="O119" s="76"/>
      <c r="P119" s="76"/>
      <c r="Q119" s="75">
        <f t="shared" si="22"/>
        <v>0</v>
      </c>
      <c r="R119" s="181"/>
      <c r="S119" s="76"/>
      <c r="T119" s="76"/>
      <c r="U119" s="75">
        <f t="shared" si="23"/>
        <v>0</v>
      </c>
    </row>
    <row r="120" spans="1:21" x14ac:dyDescent="0.25">
      <c r="A120" s="47">
        <v>9</v>
      </c>
      <c r="B120" s="47"/>
      <c r="C120" s="76"/>
      <c r="D120" s="76"/>
      <c r="E120" s="75">
        <f t="shared" si="19"/>
        <v>0</v>
      </c>
      <c r="F120" s="181"/>
      <c r="G120" s="76"/>
      <c r="H120" s="76"/>
      <c r="I120" s="75">
        <f t="shared" si="20"/>
        <v>0</v>
      </c>
      <c r="J120" s="181"/>
      <c r="K120" s="76"/>
      <c r="L120" s="76"/>
      <c r="M120" s="75">
        <f t="shared" si="21"/>
        <v>0</v>
      </c>
      <c r="N120" s="181"/>
      <c r="O120" s="76"/>
      <c r="P120" s="76"/>
      <c r="Q120" s="75">
        <f t="shared" si="22"/>
        <v>0</v>
      </c>
      <c r="R120" s="181"/>
      <c r="S120" s="76"/>
      <c r="T120" s="76"/>
      <c r="U120" s="75">
        <f t="shared" si="23"/>
        <v>0</v>
      </c>
    </row>
    <row r="121" spans="1:21" x14ac:dyDescent="0.25">
      <c r="A121" s="47">
        <v>10</v>
      </c>
      <c r="B121" s="47"/>
      <c r="C121" s="76"/>
      <c r="D121" s="76"/>
      <c r="E121" s="75">
        <f t="shared" si="19"/>
        <v>0</v>
      </c>
      <c r="F121" s="181"/>
      <c r="G121" s="76"/>
      <c r="H121" s="76"/>
      <c r="I121" s="75">
        <f t="shared" si="20"/>
        <v>0</v>
      </c>
      <c r="J121" s="181"/>
      <c r="K121" s="76"/>
      <c r="L121" s="76"/>
      <c r="M121" s="75">
        <f t="shared" si="21"/>
        <v>0</v>
      </c>
      <c r="N121" s="181"/>
      <c r="O121" s="76"/>
      <c r="P121" s="76"/>
      <c r="Q121" s="75">
        <f t="shared" si="22"/>
        <v>0</v>
      </c>
      <c r="R121" s="181"/>
      <c r="S121" s="76"/>
      <c r="T121" s="76"/>
      <c r="U121" s="75">
        <f t="shared" si="23"/>
        <v>0</v>
      </c>
    </row>
    <row r="122" spans="1:21" x14ac:dyDescent="0.25">
      <c r="A122" s="47">
        <v>11</v>
      </c>
      <c r="B122" s="47"/>
      <c r="C122" s="76"/>
      <c r="D122" s="76"/>
      <c r="E122" s="75">
        <f t="shared" si="19"/>
        <v>0</v>
      </c>
      <c r="F122" s="181"/>
      <c r="G122" s="76"/>
      <c r="H122" s="76"/>
      <c r="I122" s="75">
        <f t="shared" si="20"/>
        <v>0</v>
      </c>
      <c r="J122" s="181"/>
      <c r="K122" s="76"/>
      <c r="L122" s="76"/>
      <c r="M122" s="75">
        <f t="shared" si="21"/>
        <v>0</v>
      </c>
      <c r="N122" s="181"/>
      <c r="O122" s="76"/>
      <c r="P122" s="76"/>
      <c r="Q122" s="75">
        <f t="shared" si="22"/>
        <v>0</v>
      </c>
      <c r="R122" s="181"/>
      <c r="S122" s="76"/>
      <c r="T122" s="76"/>
      <c r="U122" s="75">
        <f t="shared" si="23"/>
        <v>0</v>
      </c>
    </row>
    <row r="123" spans="1:21" x14ac:dyDescent="0.25">
      <c r="A123" s="47">
        <v>12</v>
      </c>
      <c r="B123" s="47"/>
      <c r="C123" s="76"/>
      <c r="D123" s="76"/>
      <c r="E123" s="75">
        <f t="shared" si="19"/>
        <v>0</v>
      </c>
      <c r="F123" s="181"/>
      <c r="G123" s="76"/>
      <c r="H123" s="76"/>
      <c r="I123" s="75">
        <f t="shared" si="20"/>
        <v>0</v>
      </c>
      <c r="J123" s="181"/>
      <c r="K123" s="76"/>
      <c r="L123" s="76"/>
      <c r="M123" s="75">
        <f t="shared" si="21"/>
        <v>0</v>
      </c>
      <c r="N123" s="181"/>
      <c r="O123" s="76"/>
      <c r="P123" s="76"/>
      <c r="Q123" s="75">
        <f t="shared" si="22"/>
        <v>0</v>
      </c>
      <c r="R123" s="181"/>
      <c r="S123" s="76"/>
      <c r="T123" s="76"/>
      <c r="U123" s="75">
        <f t="shared" si="23"/>
        <v>0</v>
      </c>
    </row>
    <row r="124" spans="1:21" x14ac:dyDescent="0.25">
      <c r="A124" s="47">
        <v>13</v>
      </c>
      <c r="B124" s="47"/>
      <c r="C124" s="76"/>
      <c r="D124" s="76"/>
      <c r="E124" s="75">
        <f t="shared" si="19"/>
        <v>0</v>
      </c>
      <c r="F124" s="181"/>
      <c r="G124" s="76"/>
      <c r="H124" s="76"/>
      <c r="I124" s="75">
        <f t="shared" si="20"/>
        <v>0</v>
      </c>
      <c r="J124" s="181"/>
      <c r="K124" s="76"/>
      <c r="L124" s="76"/>
      <c r="M124" s="75">
        <f t="shared" si="21"/>
        <v>0</v>
      </c>
      <c r="N124" s="181"/>
      <c r="O124" s="76"/>
      <c r="P124" s="76"/>
      <c r="Q124" s="75">
        <f t="shared" si="22"/>
        <v>0</v>
      </c>
      <c r="R124" s="181"/>
      <c r="S124" s="76"/>
      <c r="T124" s="76"/>
      <c r="U124" s="75">
        <f t="shared" si="23"/>
        <v>0</v>
      </c>
    </row>
    <row r="125" spans="1:21" x14ac:dyDescent="0.25">
      <c r="A125" s="47">
        <v>14</v>
      </c>
      <c r="B125" s="47"/>
      <c r="C125" s="76"/>
      <c r="D125" s="76"/>
      <c r="E125" s="75">
        <f t="shared" si="19"/>
        <v>0</v>
      </c>
      <c r="F125" s="181"/>
      <c r="G125" s="76"/>
      <c r="H125" s="76"/>
      <c r="I125" s="75">
        <f t="shared" si="20"/>
        <v>0</v>
      </c>
      <c r="J125" s="181"/>
      <c r="K125" s="76"/>
      <c r="L125" s="76"/>
      <c r="M125" s="75">
        <f t="shared" si="21"/>
        <v>0</v>
      </c>
      <c r="N125" s="181"/>
      <c r="O125" s="76"/>
      <c r="P125" s="76"/>
      <c r="Q125" s="75">
        <f t="shared" si="22"/>
        <v>0</v>
      </c>
      <c r="R125" s="181"/>
      <c r="S125" s="76"/>
      <c r="T125" s="76"/>
      <c r="U125" s="75">
        <f t="shared" si="23"/>
        <v>0</v>
      </c>
    </row>
    <row r="126" spans="1:21" x14ac:dyDescent="0.25">
      <c r="A126" s="47">
        <v>15</v>
      </c>
      <c r="B126" s="47"/>
      <c r="C126" s="76"/>
      <c r="D126" s="76"/>
      <c r="E126" s="75"/>
      <c r="F126" s="181"/>
      <c r="G126" s="76"/>
      <c r="H126" s="76"/>
      <c r="I126" s="75"/>
      <c r="J126" s="181"/>
      <c r="K126" s="76"/>
      <c r="L126" s="76"/>
      <c r="M126" s="75"/>
      <c r="N126" s="181"/>
      <c r="O126" s="76"/>
      <c r="P126" s="76"/>
      <c r="Q126" s="75"/>
      <c r="R126" s="181"/>
      <c r="S126" s="76"/>
      <c r="T126" s="76"/>
      <c r="U126" s="75"/>
    </row>
    <row r="127" spans="1:21" x14ac:dyDescent="0.25">
      <c r="A127" s="32"/>
      <c r="B127" s="47" t="s">
        <v>56</v>
      </c>
      <c r="C127" s="169">
        <f>SUM(C112:C125)</f>
        <v>1229</v>
      </c>
      <c r="D127" s="170"/>
      <c r="E127" s="171"/>
      <c r="F127" s="181"/>
      <c r="G127" s="177">
        <f>SUM(G112:G125)</f>
        <v>1246</v>
      </c>
      <c r="H127" s="178"/>
      <c r="I127" s="179"/>
      <c r="J127" s="181"/>
      <c r="K127" s="177">
        <f>SUM(K112:K125)</f>
        <v>1220</v>
      </c>
      <c r="L127" s="178"/>
      <c r="M127" s="179"/>
      <c r="N127" s="181"/>
      <c r="O127" s="177">
        <f>SUM(O112:O125)</f>
        <v>1225</v>
      </c>
      <c r="P127" s="178"/>
      <c r="Q127" s="179"/>
      <c r="R127" s="181"/>
      <c r="S127" s="177">
        <f>SUM(S112:S125)</f>
        <v>1225</v>
      </c>
      <c r="T127" s="178"/>
      <c r="U127" s="179"/>
    </row>
    <row r="128" spans="1:21" x14ac:dyDescent="0.25">
      <c r="A128" s="32"/>
      <c r="B128" s="47" t="s">
        <v>57</v>
      </c>
      <c r="C128" s="169">
        <f>SUM(E112:E125)/C127</f>
        <v>5.7743281903986983</v>
      </c>
      <c r="D128" s="170"/>
      <c r="E128" s="171"/>
      <c r="F128" s="182"/>
      <c r="G128" s="177">
        <f>SUM(I112:I125)/G127</f>
        <v>5.7460002439807392</v>
      </c>
      <c r="H128" s="178"/>
      <c r="I128" s="179"/>
      <c r="J128" s="182"/>
      <c r="K128" s="177">
        <f>SUM(M112:M125)/K127</f>
        <v>6.3486014163934428</v>
      </c>
      <c r="L128" s="178"/>
      <c r="M128" s="179"/>
      <c r="N128" s="182"/>
      <c r="O128" s="177">
        <f>SUM(Q112:Q125)/O127</f>
        <v>6.381513750204082</v>
      </c>
      <c r="P128" s="178"/>
      <c r="Q128" s="179"/>
      <c r="R128" s="182"/>
      <c r="S128" s="177">
        <f>SUM(U112:U125)/S127</f>
        <v>6.8250672669387757</v>
      </c>
      <c r="T128" s="178"/>
      <c r="U128" s="179"/>
    </row>
    <row r="129" spans="1:21" x14ac:dyDescent="0.25">
      <c r="D129" t="s">
        <v>61</v>
      </c>
      <c r="E129" t="s">
        <v>62</v>
      </c>
      <c r="H129" t="s">
        <v>61</v>
      </c>
      <c r="I129" t="s">
        <v>62</v>
      </c>
      <c r="L129" t="s">
        <v>61</v>
      </c>
      <c r="M129" t="s">
        <v>62</v>
      </c>
      <c r="P129" t="s">
        <v>61</v>
      </c>
      <c r="Q129" t="s">
        <v>62</v>
      </c>
      <c r="T129" t="s">
        <v>61</v>
      </c>
      <c r="U129" t="s">
        <v>62</v>
      </c>
    </row>
    <row r="130" spans="1:21" x14ac:dyDescent="0.25">
      <c r="B130" s="47" t="s">
        <v>60</v>
      </c>
      <c r="C130" s="76">
        <v>28768</v>
      </c>
      <c r="D130" s="76">
        <v>0.305176</v>
      </c>
      <c r="E130" s="75">
        <v>1.4177E-2</v>
      </c>
      <c r="G130" s="76">
        <v>28757</v>
      </c>
      <c r="H130" s="76">
        <v>0.305176</v>
      </c>
      <c r="I130" s="75">
        <v>-5.0699999999999996E-4</v>
      </c>
      <c r="K130" s="76">
        <v>28781</v>
      </c>
      <c r="L130" s="76">
        <v>0.27974399999999999</v>
      </c>
      <c r="M130" s="75">
        <v>1.9680000000000001E-3</v>
      </c>
      <c r="O130" s="76">
        <v>28771</v>
      </c>
      <c r="P130" s="76">
        <v>0.27974399999999999</v>
      </c>
      <c r="Q130" s="75">
        <v>-2.1259999999999999E-3</v>
      </c>
      <c r="S130" s="76">
        <v>28777</v>
      </c>
      <c r="T130" s="76">
        <v>0.33060699999999998</v>
      </c>
      <c r="U130" s="75">
        <v>-4.6090000000000002E-3</v>
      </c>
    </row>
    <row r="133" spans="1:21" x14ac:dyDescent="0.25">
      <c r="A133" s="167" t="s">
        <v>121</v>
      </c>
      <c r="B133" s="167"/>
      <c r="C133" s="167" t="s">
        <v>155</v>
      </c>
      <c r="D133" s="167"/>
      <c r="E133" s="167"/>
      <c r="F133" s="180"/>
      <c r="G133" s="167" t="s">
        <v>156</v>
      </c>
      <c r="H133" s="167"/>
      <c r="I133" s="167"/>
      <c r="J133" s="180"/>
      <c r="K133" s="167" t="s">
        <v>157</v>
      </c>
      <c r="L133" s="167"/>
      <c r="M133" s="167"/>
      <c r="N133" s="180"/>
      <c r="O133" s="167" t="s">
        <v>160</v>
      </c>
      <c r="P133" s="167"/>
      <c r="Q133" s="167"/>
      <c r="R133" s="180"/>
      <c r="S133" s="167" t="s">
        <v>161</v>
      </c>
      <c r="T133" s="167"/>
      <c r="U133" s="167"/>
    </row>
    <row r="134" spans="1:21" x14ac:dyDescent="0.25">
      <c r="A134" s="167"/>
      <c r="B134" s="167"/>
      <c r="C134" s="167"/>
      <c r="D134" s="167"/>
      <c r="E134" s="167"/>
      <c r="F134" s="181"/>
      <c r="G134" s="167"/>
      <c r="H134" s="167"/>
      <c r="I134" s="167"/>
      <c r="J134" s="181"/>
      <c r="K134" s="167"/>
      <c r="L134" s="167"/>
      <c r="M134" s="167"/>
      <c r="N134" s="181"/>
      <c r="O134" s="167"/>
      <c r="P134" s="167"/>
      <c r="Q134" s="167"/>
      <c r="R134" s="181"/>
      <c r="S134" s="167"/>
      <c r="T134" s="167"/>
      <c r="U134" s="167"/>
    </row>
    <row r="135" spans="1:21" x14ac:dyDescent="0.25">
      <c r="A135" s="47"/>
      <c r="B135" s="47" t="s">
        <v>19</v>
      </c>
      <c r="C135" s="75" t="s">
        <v>53</v>
      </c>
      <c r="D135" s="75" t="s">
        <v>54</v>
      </c>
      <c r="E135" s="75" t="s">
        <v>55</v>
      </c>
      <c r="F135" s="181"/>
      <c r="G135" s="75" t="s">
        <v>53</v>
      </c>
      <c r="H135" s="75" t="s">
        <v>54</v>
      </c>
      <c r="I135" s="75" t="s">
        <v>55</v>
      </c>
      <c r="J135" s="181"/>
      <c r="K135" s="75" t="s">
        <v>53</v>
      </c>
      <c r="L135" s="75" t="s">
        <v>54</v>
      </c>
      <c r="M135" s="75" t="s">
        <v>55</v>
      </c>
      <c r="N135" s="181"/>
      <c r="O135" s="75" t="s">
        <v>53</v>
      </c>
      <c r="P135" s="75" t="s">
        <v>54</v>
      </c>
      <c r="Q135" s="75" t="s">
        <v>55</v>
      </c>
      <c r="R135" s="181"/>
      <c r="S135" s="75" t="s">
        <v>53</v>
      </c>
      <c r="T135" s="75" t="s">
        <v>54</v>
      </c>
      <c r="U135" s="75" t="s">
        <v>55</v>
      </c>
    </row>
    <row r="136" spans="1:21" x14ac:dyDescent="0.25">
      <c r="A136" s="47">
        <v>1</v>
      </c>
      <c r="B136" s="47" t="s">
        <v>35</v>
      </c>
      <c r="C136" s="76">
        <v>288</v>
      </c>
      <c r="D136" s="76">
        <v>3.8953760000000002</v>
      </c>
      <c r="E136" s="75">
        <f>C136*D136</f>
        <v>1121.8682880000001</v>
      </c>
      <c r="F136" s="181"/>
      <c r="G136" s="76">
        <v>265</v>
      </c>
      <c r="H136" s="76">
        <v>4.0137460000000003</v>
      </c>
      <c r="I136" s="75">
        <f>G136*H136</f>
        <v>1063.6426900000001</v>
      </c>
      <c r="J136" s="181"/>
      <c r="K136" s="76">
        <v>287</v>
      </c>
      <c r="L136" s="76">
        <v>3.9066070000000002</v>
      </c>
      <c r="M136" s="75">
        <f>K136*L136</f>
        <v>1121.196209</v>
      </c>
      <c r="N136" s="181"/>
      <c r="O136" s="76">
        <v>278</v>
      </c>
      <c r="P136" s="76">
        <v>4.4944069999999998</v>
      </c>
      <c r="Q136" s="75">
        <f>O136*P136</f>
        <v>1249.445146</v>
      </c>
      <c r="R136" s="181"/>
      <c r="S136" s="76">
        <v>275</v>
      </c>
      <c r="T136" s="76">
        <v>3.962199</v>
      </c>
      <c r="U136" s="75">
        <f>S136*T136</f>
        <v>1089.6047249999999</v>
      </c>
    </row>
    <row r="137" spans="1:21" x14ac:dyDescent="0.25">
      <c r="A137" s="47">
        <v>2</v>
      </c>
      <c r="B137" s="47" t="s">
        <v>36</v>
      </c>
      <c r="C137" s="76">
        <v>138</v>
      </c>
      <c r="D137" s="76">
        <v>3.9183059999999998</v>
      </c>
      <c r="E137" s="75">
        <f t="shared" ref="E137:E149" si="24">C137*D137</f>
        <v>540.72622799999999</v>
      </c>
      <c r="F137" s="181"/>
      <c r="G137" s="76">
        <v>134</v>
      </c>
      <c r="H137" s="76">
        <v>3.8363610000000001</v>
      </c>
      <c r="I137" s="75">
        <f t="shared" ref="I137:I149" si="25">G137*H137</f>
        <v>514.07237399999997</v>
      </c>
      <c r="J137" s="181"/>
      <c r="K137" s="76">
        <v>138</v>
      </c>
      <c r="L137" s="76">
        <v>4.063561</v>
      </c>
      <c r="M137" s="75">
        <f t="shared" ref="M137:M149" si="26">K137*L137</f>
        <v>560.77141800000004</v>
      </c>
      <c r="N137" s="181"/>
      <c r="O137" s="76">
        <v>135</v>
      </c>
      <c r="P137" s="76">
        <v>4.2432619999999996</v>
      </c>
      <c r="Q137" s="75">
        <f t="shared" ref="Q137:Q149" si="27">O137*P137</f>
        <v>572.84037000000001</v>
      </c>
      <c r="R137" s="181"/>
      <c r="S137" s="76">
        <v>140</v>
      </c>
      <c r="T137" s="76">
        <v>3.8582939999999999</v>
      </c>
      <c r="U137" s="75">
        <f t="shared" ref="U137:U149" si="28">S137*T137</f>
        <v>540.16116</v>
      </c>
    </row>
    <row r="138" spans="1:21" x14ac:dyDescent="0.25">
      <c r="A138" s="47">
        <v>3</v>
      </c>
      <c r="B138" s="47" t="s">
        <v>27</v>
      </c>
      <c r="C138" s="76">
        <v>322</v>
      </c>
      <c r="D138" s="76">
        <v>7.2018300000000002</v>
      </c>
      <c r="E138" s="75">
        <f t="shared" si="24"/>
        <v>2318.9892599999998</v>
      </c>
      <c r="F138" s="181"/>
      <c r="G138" s="76">
        <v>322</v>
      </c>
      <c r="H138" s="76">
        <v>7.2058039999999997</v>
      </c>
      <c r="I138" s="75">
        <f t="shared" si="25"/>
        <v>2320.2688880000001</v>
      </c>
      <c r="J138" s="181"/>
      <c r="K138" s="76">
        <v>321</v>
      </c>
      <c r="L138" s="76">
        <v>7.1833369999999999</v>
      </c>
      <c r="M138" s="75">
        <f t="shared" si="26"/>
        <v>2305.851177</v>
      </c>
      <c r="N138" s="181"/>
      <c r="O138" s="76">
        <v>323</v>
      </c>
      <c r="P138" s="76">
        <v>7.7994659999999998</v>
      </c>
      <c r="Q138" s="75">
        <f t="shared" si="27"/>
        <v>2519.2275180000001</v>
      </c>
      <c r="R138" s="181"/>
      <c r="S138" s="76">
        <v>321</v>
      </c>
      <c r="T138" s="76">
        <v>7.2340169999999997</v>
      </c>
      <c r="U138" s="75">
        <f t="shared" si="28"/>
        <v>2322.1194569999998</v>
      </c>
    </row>
    <row r="139" spans="1:21" s="120" customFormat="1" x14ac:dyDescent="0.25">
      <c r="A139" s="129">
        <v>4</v>
      </c>
      <c r="B139" s="129" t="s">
        <v>28</v>
      </c>
      <c r="C139" s="73">
        <v>145</v>
      </c>
      <c r="D139" s="73">
        <v>4.7581990000000003</v>
      </c>
      <c r="E139" s="73">
        <f t="shared" si="24"/>
        <v>689.93885499999999</v>
      </c>
      <c r="F139" s="181"/>
      <c r="G139" s="73">
        <v>148</v>
      </c>
      <c r="H139" s="73">
        <v>4.9370659999999997</v>
      </c>
      <c r="I139" s="73">
        <f t="shared" si="25"/>
        <v>730.68576799999994</v>
      </c>
      <c r="J139" s="181"/>
      <c r="K139" s="73">
        <v>145</v>
      </c>
      <c r="L139" s="73">
        <v>5.9017600000000003</v>
      </c>
      <c r="M139" s="73">
        <f t="shared" si="26"/>
        <v>855.75520000000006</v>
      </c>
      <c r="N139" s="181"/>
      <c r="O139" s="73">
        <v>143</v>
      </c>
      <c r="P139" s="73">
        <v>6.0561610000000003</v>
      </c>
      <c r="Q139" s="73">
        <f t="shared" si="27"/>
        <v>866.031023</v>
      </c>
      <c r="R139" s="181"/>
      <c r="S139" s="73">
        <v>147</v>
      </c>
      <c r="T139" s="73">
        <v>6.9105359999999996</v>
      </c>
      <c r="U139" s="73">
        <f t="shared" si="28"/>
        <v>1015.8487919999999</v>
      </c>
    </row>
    <row r="140" spans="1:21" s="132" customFormat="1" x14ac:dyDescent="0.25">
      <c r="A140" s="130">
        <v>5</v>
      </c>
      <c r="B140" s="130" t="s">
        <v>25</v>
      </c>
      <c r="C140" s="131">
        <v>37</v>
      </c>
      <c r="D140" s="131">
        <v>9.5303850000000008</v>
      </c>
      <c r="E140" s="131">
        <f t="shared" si="24"/>
        <v>352.62424500000003</v>
      </c>
      <c r="F140" s="181"/>
      <c r="G140" s="131">
        <v>34</v>
      </c>
      <c r="H140" s="131">
        <v>10.321934000000001</v>
      </c>
      <c r="I140" s="131">
        <f t="shared" si="25"/>
        <v>350.94575600000002</v>
      </c>
      <c r="J140" s="181"/>
      <c r="K140" s="131">
        <v>38</v>
      </c>
      <c r="L140" s="131">
        <v>19.982655000000001</v>
      </c>
      <c r="M140" s="131">
        <f t="shared" si="26"/>
        <v>759.34089000000006</v>
      </c>
      <c r="N140" s="181"/>
      <c r="O140" s="131">
        <v>37</v>
      </c>
      <c r="P140" s="131">
        <v>22.560402</v>
      </c>
      <c r="Q140" s="131">
        <f t="shared" si="27"/>
        <v>834.73487399999999</v>
      </c>
      <c r="R140" s="181"/>
      <c r="S140" s="131">
        <v>36</v>
      </c>
      <c r="T140" s="131">
        <v>26.524861000000001</v>
      </c>
      <c r="U140" s="131">
        <f t="shared" si="28"/>
        <v>954.89499599999999</v>
      </c>
    </row>
    <row r="141" spans="1:21" x14ac:dyDescent="0.25">
      <c r="A141" s="47">
        <v>6</v>
      </c>
      <c r="B141" s="47" t="s">
        <v>29</v>
      </c>
      <c r="C141" s="76">
        <v>297</v>
      </c>
      <c r="D141" s="76">
        <v>5.3543690000000002</v>
      </c>
      <c r="E141" s="75">
        <f t="shared" si="24"/>
        <v>1590.2475930000001</v>
      </c>
      <c r="F141" s="181"/>
      <c r="G141" s="76">
        <v>322</v>
      </c>
      <c r="H141" s="76">
        <v>4.9515560000000001</v>
      </c>
      <c r="I141" s="75">
        <f t="shared" si="25"/>
        <v>1594.401032</v>
      </c>
      <c r="J141" s="181"/>
      <c r="K141" s="76">
        <v>309</v>
      </c>
      <c r="L141" s="76">
        <v>5.4812690000000002</v>
      </c>
      <c r="M141" s="75">
        <f t="shared" si="26"/>
        <v>1693.712121</v>
      </c>
      <c r="N141" s="181"/>
      <c r="O141" s="76">
        <v>303</v>
      </c>
      <c r="P141" s="76">
        <v>5.83352</v>
      </c>
      <c r="Q141" s="75">
        <f t="shared" si="27"/>
        <v>1767.55656</v>
      </c>
      <c r="R141" s="181"/>
      <c r="S141" s="76">
        <v>297</v>
      </c>
      <c r="T141" s="76">
        <v>5.692304</v>
      </c>
      <c r="U141" s="75">
        <f t="shared" si="28"/>
        <v>1690.614288</v>
      </c>
    </row>
    <row r="142" spans="1:21" x14ac:dyDescent="0.25">
      <c r="A142" s="47">
        <v>7</v>
      </c>
      <c r="B142" s="47"/>
      <c r="C142" s="76"/>
      <c r="D142" s="76"/>
      <c r="E142" s="75">
        <f t="shared" si="24"/>
        <v>0</v>
      </c>
      <c r="F142" s="181"/>
      <c r="G142" s="76"/>
      <c r="H142" s="76"/>
      <c r="I142" s="75">
        <f t="shared" si="25"/>
        <v>0</v>
      </c>
      <c r="J142" s="181"/>
      <c r="K142" s="76"/>
      <c r="L142" s="76"/>
      <c r="M142" s="75">
        <f t="shared" si="26"/>
        <v>0</v>
      </c>
      <c r="N142" s="181"/>
      <c r="O142" s="76"/>
      <c r="P142" s="76"/>
      <c r="Q142" s="75">
        <f t="shared" si="27"/>
        <v>0</v>
      </c>
      <c r="R142" s="181"/>
      <c r="S142" s="76"/>
      <c r="T142" s="76"/>
      <c r="U142" s="75">
        <f t="shared" si="28"/>
        <v>0</v>
      </c>
    </row>
    <row r="143" spans="1:21" x14ac:dyDescent="0.25">
      <c r="A143" s="47">
        <v>8</v>
      </c>
      <c r="B143" s="47"/>
      <c r="C143" s="76"/>
      <c r="D143" s="76"/>
      <c r="E143" s="75">
        <f t="shared" si="24"/>
        <v>0</v>
      </c>
      <c r="F143" s="181"/>
      <c r="G143" s="76"/>
      <c r="H143" s="76"/>
      <c r="I143" s="75">
        <f t="shared" si="25"/>
        <v>0</v>
      </c>
      <c r="J143" s="181"/>
      <c r="K143" s="76"/>
      <c r="L143" s="76"/>
      <c r="M143" s="75">
        <f t="shared" si="26"/>
        <v>0</v>
      </c>
      <c r="N143" s="181"/>
      <c r="O143" s="76"/>
      <c r="P143" s="76"/>
      <c r="Q143" s="75">
        <f t="shared" si="27"/>
        <v>0</v>
      </c>
      <c r="R143" s="181"/>
      <c r="S143" s="76"/>
      <c r="T143" s="76"/>
      <c r="U143" s="75">
        <f t="shared" si="28"/>
        <v>0</v>
      </c>
    </row>
    <row r="144" spans="1:21" x14ac:dyDescent="0.25">
      <c r="A144" s="47">
        <v>9</v>
      </c>
      <c r="B144" s="47"/>
      <c r="C144" s="76"/>
      <c r="D144" s="76"/>
      <c r="E144" s="75">
        <f t="shared" si="24"/>
        <v>0</v>
      </c>
      <c r="F144" s="181"/>
      <c r="G144" s="76"/>
      <c r="H144" s="76"/>
      <c r="I144" s="75">
        <f t="shared" si="25"/>
        <v>0</v>
      </c>
      <c r="J144" s="181"/>
      <c r="K144" s="76"/>
      <c r="L144" s="76"/>
      <c r="M144" s="75">
        <f t="shared" si="26"/>
        <v>0</v>
      </c>
      <c r="N144" s="181"/>
      <c r="O144" s="76"/>
      <c r="P144" s="76"/>
      <c r="Q144" s="75">
        <f t="shared" si="27"/>
        <v>0</v>
      </c>
      <c r="R144" s="181"/>
      <c r="S144" s="76"/>
      <c r="T144" s="76"/>
      <c r="U144" s="75">
        <f t="shared" si="28"/>
        <v>0</v>
      </c>
    </row>
    <row r="145" spans="1:21" x14ac:dyDescent="0.25">
      <c r="A145" s="47">
        <v>10</v>
      </c>
      <c r="B145" s="47"/>
      <c r="C145" s="76"/>
      <c r="D145" s="76"/>
      <c r="E145" s="75">
        <f t="shared" si="24"/>
        <v>0</v>
      </c>
      <c r="F145" s="181"/>
      <c r="G145" s="76"/>
      <c r="H145" s="76"/>
      <c r="I145" s="75">
        <f t="shared" si="25"/>
        <v>0</v>
      </c>
      <c r="J145" s="181"/>
      <c r="K145" s="76"/>
      <c r="L145" s="76"/>
      <c r="M145" s="75">
        <f t="shared" si="26"/>
        <v>0</v>
      </c>
      <c r="N145" s="181"/>
      <c r="O145" s="76"/>
      <c r="P145" s="76"/>
      <c r="Q145" s="75">
        <f t="shared" si="27"/>
        <v>0</v>
      </c>
      <c r="R145" s="181"/>
      <c r="S145" s="76"/>
      <c r="T145" s="76"/>
      <c r="U145" s="75">
        <f t="shared" si="28"/>
        <v>0</v>
      </c>
    </row>
    <row r="146" spans="1:21" x14ac:dyDescent="0.25">
      <c r="A146" s="47">
        <v>11</v>
      </c>
      <c r="B146" s="47"/>
      <c r="C146" s="76"/>
      <c r="D146" s="76"/>
      <c r="E146" s="75">
        <f t="shared" si="24"/>
        <v>0</v>
      </c>
      <c r="F146" s="181"/>
      <c r="G146" s="76"/>
      <c r="H146" s="76"/>
      <c r="I146" s="75">
        <f t="shared" si="25"/>
        <v>0</v>
      </c>
      <c r="J146" s="181"/>
      <c r="K146" s="76"/>
      <c r="L146" s="76"/>
      <c r="M146" s="75">
        <f t="shared" si="26"/>
        <v>0</v>
      </c>
      <c r="N146" s="181"/>
      <c r="O146" s="76"/>
      <c r="P146" s="76"/>
      <c r="Q146" s="75">
        <f t="shared" si="27"/>
        <v>0</v>
      </c>
      <c r="R146" s="181"/>
      <c r="S146" s="76"/>
      <c r="T146" s="76"/>
      <c r="U146" s="75">
        <f t="shared" si="28"/>
        <v>0</v>
      </c>
    </row>
    <row r="147" spans="1:21" x14ac:dyDescent="0.25">
      <c r="A147" s="47">
        <v>12</v>
      </c>
      <c r="B147" s="47"/>
      <c r="C147" s="76"/>
      <c r="D147" s="76"/>
      <c r="E147" s="75">
        <f t="shared" si="24"/>
        <v>0</v>
      </c>
      <c r="F147" s="181"/>
      <c r="G147" s="76"/>
      <c r="H147" s="76"/>
      <c r="I147" s="75">
        <f t="shared" si="25"/>
        <v>0</v>
      </c>
      <c r="J147" s="181"/>
      <c r="K147" s="76"/>
      <c r="L147" s="76"/>
      <c r="M147" s="75">
        <f t="shared" si="26"/>
        <v>0</v>
      </c>
      <c r="N147" s="181"/>
      <c r="O147" s="76"/>
      <c r="P147" s="76"/>
      <c r="Q147" s="75">
        <f t="shared" si="27"/>
        <v>0</v>
      </c>
      <c r="R147" s="181"/>
      <c r="S147" s="76"/>
      <c r="T147" s="76"/>
      <c r="U147" s="75">
        <f t="shared" si="28"/>
        <v>0</v>
      </c>
    </row>
    <row r="148" spans="1:21" x14ac:dyDescent="0.25">
      <c r="A148" s="47">
        <v>13</v>
      </c>
      <c r="B148" s="47"/>
      <c r="C148" s="76"/>
      <c r="D148" s="76"/>
      <c r="E148" s="75">
        <f t="shared" si="24"/>
        <v>0</v>
      </c>
      <c r="F148" s="181"/>
      <c r="G148" s="76"/>
      <c r="H148" s="76"/>
      <c r="I148" s="75">
        <f t="shared" si="25"/>
        <v>0</v>
      </c>
      <c r="J148" s="181"/>
      <c r="K148" s="76"/>
      <c r="L148" s="76"/>
      <c r="M148" s="75">
        <f t="shared" si="26"/>
        <v>0</v>
      </c>
      <c r="N148" s="181"/>
      <c r="O148" s="76"/>
      <c r="P148" s="76"/>
      <c r="Q148" s="75">
        <f t="shared" si="27"/>
        <v>0</v>
      </c>
      <c r="R148" s="181"/>
      <c r="S148" s="76"/>
      <c r="T148" s="76"/>
      <c r="U148" s="75">
        <f t="shared" si="28"/>
        <v>0</v>
      </c>
    </row>
    <row r="149" spans="1:21" x14ac:dyDescent="0.25">
      <c r="A149" s="47">
        <v>14</v>
      </c>
      <c r="B149" s="47"/>
      <c r="C149" s="76"/>
      <c r="D149" s="76"/>
      <c r="E149" s="75">
        <f t="shared" si="24"/>
        <v>0</v>
      </c>
      <c r="F149" s="181"/>
      <c r="G149" s="76"/>
      <c r="H149" s="76"/>
      <c r="I149" s="75">
        <f t="shared" si="25"/>
        <v>0</v>
      </c>
      <c r="J149" s="181"/>
      <c r="K149" s="76"/>
      <c r="L149" s="76"/>
      <c r="M149" s="75">
        <f t="shared" si="26"/>
        <v>0</v>
      </c>
      <c r="N149" s="181"/>
      <c r="O149" s="76"/>
      <c r="P149" s="76"/>
      <c r="Q149" s="75">
        <f t="shared" si="27"/>
        <v>0</v>
      </c>
      <c r="R149" s="181"/>
      <c r="S149" s="76"/>
      <c r="T149" s="76"/>
      <c r="U149" s="75">
        <f t="shared" si="28"/>
        <v>0</v>
      </c>
    </row>
    <row r="150" spans="1:21" x14ac:dyDescent="0.25">
      <c r="A150" s="47">
        <v>15</v>
      </c>
      <c r="B150" s="47"/>
      <c r="C150" s="76"/>
      <c r="D150" s="76"/>
      <c r="E150" s="75"/>
      <c r="F150" s="181"/>
      <c r="G150" s="76"/>
      <c r="H150" s="76"/>
      <c r="I150" s="75"/>
      <c r="J150" s="181"/>
      <c r="K150" s="76"/>
      <c r="L150" s="76"/>
      <c r="M150" s="75"/>
      <c r="N150" s="181"/>
      <c r="O150" s="76"/>
      <c r="P150" s="76"/>
      <c r="Q150" s="75"/>
      <c r="R150" s="181"/>
      <c r="S150" s="76"/>
      <c r="T150" s="76"/>
      <c r="U150" s="75"/>
    </row>
    <row r="151" spans="1:21" x14ac:dyDescent="0.25">
      <c r="A151" s="32"/>
      <c r="B151" s="47" t="s">
        <v>56</v>
      </c>
      <c r="C151" s="169">
        <f>SUM(C136:C149)</f>
        <v>1227</v>
      </c>
      <c r="D151" s="170"/>
      <c r="E151" s="171"/>
      <c r="F151" s="181"/>
      <c r="G151" s="177">
        <f>SUM(G136:G149)</f>
        <v>1225</v>
      </c>
      <c r="H151" s="178"/>
      <c r="I151" s="179"/>
      <c r="J151" s="181"/>
      <c r="K151" s="177">
        <f>SUM(K136:K149)</f>
        <v>1238</v>
      </c>
      <c r="L151" s="178"/>
      <c r="M151" s="179"/>
      <c r="N151" s="181"/>
      <c r="O151" s="177">
        <f>SUM(O136:O149)</f>
        <v>1219</v>
      </c>
      <c r="P151" s="178"/>
      <c r="Q151" s="179"/>
      <c r="R151" s="181"/>
      <c r="S151" s="177">
        <f>SUM(S136:S149)</f>
        <v>1216</v>
      </c>
      <c r="T151" s="178"/>
      <c r="U151" s="179"/>
    </row>
    <row r="152" spans="1:21" x14ac:dyDescent="0.25">
      <c r="A152" s="32"/>
      <c r="B152" s="47" t="s">
        <v>57</v>
      </c>
      <c r="C152" s="169">
        <f>SUM(E136:E149)/C151</f>
        <v>5.3907045387123063</v>
      </c>
      <c r="D152" s="170"/>
      <c r="E152" s="171"/>
      <c r="F152" s="182"/>
      <c r="G152" s="177">
        <f>SUM(I136:I149)/G151</f>
        <v>5.3665440881632653</v>
      </c>
      <c r="H152" s="178"/>
      <c r="I152" s="179"/>
      <c r="J152" s="182"/>
      <c r="K152" s="177">
        <f>SUM(M136:M149)/K151</f>
        <v>5.8938828877221328</v>
      </c>
      <c r="L152" s="178"/>
      <c r="M152" s="179"/>
      <c r="N152" s="182"/>
      <c r="O152" s="177">
        <f>SUM(Q136:Q149)/O151</f>
        <v>6.4067559401148477</v>
      </c>
      <c r="P152" s="178"/>
      <c r="Q152" s="179"/>
      <c r="R152" s="182"/>
      <c r="S152" s="177">
        <f>SUM(U136:U149)/S151</f>
        <v>6.2608909687499992</v>
      </c>
      <c r="T152" s="178"/>
      <c r="U152" s="179"/>
    </row>
    <row r="153" spans="1:21" x14ac:dyDescent="0.25">
      <c r="D153" t="s">
        <v>61</v>
      </c>
      <c r="E153" t="s">
        <v>62</v>
      </c>
      <c r="H153" t="s">
        <v>61</v>
      </c>
      <c r="I153" t="s">
        <v>62</v>
      </c>
      <c r="L153" t="s">
        <v>61</v>
      </c>
      <c r="M153" t="s">
        <v>62</v>
      </c>
      <c r="P153" t="s">
        <v>61</v>
      </c>
      <c r="Q153" t="s">
        <v>62</v>
      </c>
      <c r="T153" t="s">
        <v>61</v>
      </c>
      <c r="U153" t="s">
        <v>62</v>
      </c>
    </row>
    <row r="154" spans="1:21" x14ac:dyDescent="0.25">
      <c r="B154" s="47" t="s">
        <v>60</v>
      </c>
      <c r="C154" s="76">
        <v>28774</v>
      </c>
      <c r="D154" s="76">
        <v>0.305176</v>
      </c>
      <c r="E154" s="75">
        <v>3.5579E-2</v>
      </c>
      <c r="G154" s="76">
        <v>28778</v>
      </c>
      <c r="H154" s="76">
        <v>0.27974399999999999</v>
      </c>
      <c r="I154" s="75">
        <v>1.7107000000000001E-2</v>
      </c>
      <c r="K154" s="76">
        <v>28763</v>
      </c>
      <c r="L154" s="76">
        <v>0.27974399999999999</v>
      </c>
      <c r="M154" s="75">
        <v>1.0919E-2</v>
      </c>
      <c r="O154" s="76">
        <v>29082</v>
      </c>
      <c r="P154" s="76">
        <v>2.1489459999999998E-2</v>
      </c>
      <c r="Q154" s="75">
        <v>6.0236999999999999E-2</v>
      </c>
      <c r="S154" s="76">
        <v>28781</v>
      </c>
      <c r="T154" s="76">
        <v>0.305176</v>
      </c>
      <c r="U154" s="75">
        <v>1.6475E-2</v>
      </c>
    </row>
  </sheetData>
  <mergeCells count="99">
    <mergeCell ref="S109:U110"/>
    <mergeCell ref="S127:U127"/>
    <mergeCell ref="S128:U128"/>
    <mergeCell ref="N133:N152"/>
    <mergeCell ref="O133:Q134"/>
    <mergeCell ref="R133:R152"/>
    <mergeCell ref="S133:U134"/>
    <mergeCell ref="O151:Q151"/>
    <mergeCell ref="S151:U151"/>
    <mergeCell ref="O152:Q152"/>
    <mergeCell ref="S152:U152"/>
    <mergeCell ref="N109:N128"/>
    <mergeCell ref="O109:Q110"/>
    <mergeCell ref="O127:Q127"/>
    <mergeCell ref="O128:Q128"/>
    <mergeCell ref="R109:R128"/>
    <mergeCell ref="F133:F152"/>
    <mergeCell ref="G133:I134"/>
    <mergeCell ref="J133:J152"/>
    <mergeCell ref="K133:M134"/>
    <mergeCell ref="C151:E151"/>
    <mergeCell ref="G151:I151"/>
    <mergeCell ref="K151:M151"/>
    <mergeCell ref="C152:E152"/>
    <mergeCell ref="A133:B134"/>
    <mergeCell ref="G152:I152"/>
    <mergeCell ref="K152:M152"/>
    <mergeCell ref="K109:M110"/>
    <mergeCell ref="K127:M127"/>
    <mergeCell ref="K128:M128"/>
    <mergeCell ref="C109:E110"/>
    <mergeCell ref="F109:F128"/>
    <mergeCell ref="G109:I110"/>
    <mergeCell ref="J109:J128"/>
    <mergeCell ref="C127:E127"/>
    <mergeCell ref="G127:I127"/>
    <mergeCell ref="C128:E128"/>
    <mergeCell ref="G128:I128"/>
    <mergeCell ref="A109:B110"/>
    <mergeCell ref="C133:E134"/>
    <mergeCell ref="J1:J20"/>
    <mergeCell ref="C19:E19"/>
    <mergeCell ref="G19:I19"/>
    <mergeCell ref="C20:E20"/>
    <mergeCell ref="G20:I20"/>
    <mergeCell ref="C47:E47"/>
    <mergeCell ref="G47:I47"/>
    <mergeCell ref="A1:B2"/>
    <mergeCell ref="C1:E2"/>
    <mergeCell ref="F1:F20"/>
    <mergeCell ref="G1:I2"/>
    <mergeCell ref="T1:V2"/>
    <mergeCell ref="T19:V19"/>
    <mergeCell ref="T20:V20"/>
    <mergeCell ref="K28:M29"/>
    <mergeCell ref="O28:Q29"/>
    <mergeCell ref="K20:M20"/>
    <mergeCell ref="O1:Q2"/>
    <mergeCell ref="O19:Q19"/>
    <mergeCell ref="O20:Q20"/>
    <mergeCell ref="K1:M2"/>
    <mergeCell ref="K19:M19"/>
    <mergeCell ref="A83:B84"/>
    <mergeCell ref="G102:I102"/>
    <mergeCell ref="K102:M102"/>
    <mergeCell ref="Z3:AA3"/>
    <mergeCell ref="AB3:AC3"/>
    <mergeCell ref="K47:M47"/>
    <mergeCell ref="O47:Q47"/>
    <mergeCell ref="C46:E46"/>
    <mergeCell ref="G46:I46"/>
    <mergeCell ref="K46:M46"/>
    <mergeCell ref="O46:Q46"/>
    <mergeCell ref="A28:B29"/>
    <mergeCell ref="C28:E29"/>
    <mergeCell ref="F28:F47"/>
    <mergeCell ref="G28:I29"/>
    <mergeCell ref="J28:J47"/>
    <mergeCell ref="C83:E84"/>
    <mergeCell ref="F83:F102"/>
    <mergeCell ref="G83:I84"/>
    <mergeCell ref="J83:J102"/>
    <mergeCell ref="K83:M84"/>
    <mergeCell ref="C101:E101"/>
    <mergeCell ref="G101:I101"/>
    <mergeCell ref="K101:M101"/>
    <mergeCell ref="C102:E102"/>
    <mergeCell ref="K56:M57"/>
    <mergeCell ref="C74:E74"/>
    <mergeCell ref="G74:I74"/>
    <mergeCell ref="K74:M74"/>
    <mergeCell ref="C75:E75"/>
    <mergeCell ref="G75:I75"/>
    <mergeCell ref="K75:M75"/>
    <mergeCell ref="A56:B57"/>
    <mergeCell ref="C56:E57"/>
    <mergeCell ref="F56:F75"/>
    <mergeCell ref="G56:I57"/>
    <mergeCell ref="J56:J7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45D11-4E23-469A-8D00-D5C91BF8045A}">
  <dimension ref="A1:N25"/>
  <sheetViews>
    <sheetView workbookViewId="0">
      <selection activeCell="K17" sqref="K17"/>
    </sheetView>
  </sheetViews>
  <sheetFormatPr defaultRowHeight="15" x14ac:dyDescent="0.25"/>
  <cols>
    <col min="1" max="1" width="34" customWidth="1"/>
    <col min="5" max="5" width="37.28515625" customWidth="1"/>
    <col min="6" max="6" width="10.85546875" customWidth="1"/>
    <col min="7" max="7" width="14.28515625" customWidth="1"/>
    <col min="8" max="8" width="3.140625" customWidth="1"/>
    <col min="10" max="10" width="2" customWidth="1"/>
    <col min="11" max="11" width="11.42578125" customWidth="1"/>
  </cols>
  <sheetData>
    <row r="1" spans="1:14" ht="63.75" x14ac:dyDescent="0.25">
      <c r="A1" s="70" t="s">
        <v>38</v>
      </c>
      <c r="B1" s="70" t="s">
        <v>39</v>
      </c>
      <c r="C1" s="70" t="s">
        <v>40</v>
      </c>
      <c r="D1" s="70" t="s">
        <v>41</v>
      </c>
      <c r="E1" s="70" t="s">
        <v>42</v>
      </c>
      <c r="F1" s="70" t="s">
        <v>9</v>
      </c>
      <c r="G1" s="70" t="s">
        <v>43</v>
      </c>
      <c r="H1" s="71" t="s">
        <v>44</v>
      </c>
      <c r="I1" s="70" t="s">
        <v>45</v>
      </c>
      <c r="J1" s="71" t="s">
        <v>46</v>
      </c>
      <c r="K1" s="70" t="s">
        <v>47</v>
      </c>
    </row>
    <row r="2" spans="1:14" x14ac:dyDescent="0.25">
      <c r="A2" s="203" t="s">
        <v>48</v>
      </c>
      <c r="B2" s="203">
        <v>0</v>
      </c>
      <c r="C2" s="72">
        <v>3.3</v>
      </c>
      <c r="D2" s="72">
        <v>1</v>
      </c>
      <c r="E2" s="72" t="str">
        <f>CONCATENATE(D2," - ",C2,"V ", F2, " ", G2,"ms ", I2,"bytes")</f>
        <v>1 - 3.3V GLDO 100ms 3bytes</v>
      </c>
      <c r="F2" s="72" t="s">
        <v>10</v>
      </c>
      <c r="G2" s="72">
        <v>100</v>
      </c>
      <c r="H2" s="72"/>
      <c r="I2" s="72">
        <v>3</v>
      </c>
      <c r="J2" s="72"/>
      <c r="K2" s="73" t="s">
        <v>49</v>
      </c>
    </row>
    <row r="3" spans="1:14" x14ac:dyDescent="0.25">
      <c r="A3" s="203"/>
      <c r="B3" s="203"/>
      <c r="C3" s="72">
        <v>3.3</v>
      </c>
      <c r="D3" s="72">
        <v>2</v>
      </c>
      <c r="E3" s="72" t="str">
        <f t="shared" ref="E3:E25" si="0">CONCATENATE(D3," - ",C3,"V ", F3, " ", G3,"ms ", I3,"bytes")</f>
        <v>2 - 3.3V GLDO 100ms 20bytes</v>
      </c>
      <c r="F3" s="72" t="s">
        <v>10</v>
      </c>
      <c r="G3" s="72">
        <v>100</v>
      </c>
      <c r="H3" s="73"/>
      <c r="I3" s="73">
        <v>20</v>
      </c>
      <c r="J3" s="73"/>
      <c r="K3" s="73" t="s">
        <v>49</v>
      </c>
      <c r="N3" s="41" t="s">
        <v>50</v>
      </c>
    </row>
    <row r="4" spans="1:14" x14ac:dyDescent="0.25">
      <c r="A4" s="203"/>
      <c r="B4" s="203"/>
      <c r="C4" s="72">
        <v>3.3</v>
      </c>
      <c r="D4" s="72">
        <v>3</v>
      </c>
      <c r="E4" s="72" t="str">
        <f t="shared" si="0"/>
        <v>3 - 3.3V GLDO 100ms 31bytes</v>
      </c>
      <c r="F4" s="72" t="s">
        <v>10</v>
      </c>
      <c r="G4" s="72">
        <v>100</v>
      </c>
      <c r="H4" s="73"/>
      <c r="I4" s="73">
        <v>31</v>
      </c>
      <c r="J4" s="73"/>
      <c r="K4" s="73" t="s">
        <v>49</v>
      </c>
      <c r="N4" s="41" t="s">
        <v>51</v>
      </c>
    </row>
    <row r="5" spans="1:14" x14ac:dyDescent="0.25">
      <c r="A5" s="203"/>
      <c r="B5" s="203"/>
      <c r="C5" s="72">
        <v>3.3</v>
      </c>
      <c r="D5" s="72">
        <v>4</v>
      </c>
      <c r="E5" s="72" t="str">
        <f>CONCATENATE(D5," - ",C5,"V ", F5, " ", G5,"ms ", I5,"bytes")</f>
        <v>4 - 3.3V GLDO 20ms 3bytes</v>
      </c>
      <c r="F5" s="72" t="s">
        <v>10</v>
      </c>
      <c r="G5" s="74">
        <v>20</v>
      </c>
      <c r="H5" s="73"/>
      <c r="I5" s="72">
        <v>3</v>
      </c>
      <c r="J5" s="73"/>
      <c r="K5" s="73" t="s">
        <v>49</v>
      </c>
      <c r="N5" s="41" t="s">
        <v>52</v>
      </c>
    </row>
    <row r="6" spans="1:14" x14ac:dyDescent="0.25">
      <c r="A6" s="203"/>
      <c r="B6" s="203"/>
      <c r="C6" s="72">
        <v>3.3</v>
      </c>
      <c r="D6" s="72">
        <v>5</v>
      </c>
      <c r="E6" s="72" t="str">
        <f t="shared" si="0"/>
        <v>5 - 3.3V GLDO 20ms 20bytes</v>
      </c>
      <c r="F6" s="72" t="s">
        <v>10</v>
      </c>
      <c r="G6" s="74">
        <v>20</v>
      </c>
      <c r="H6" s="73"/>
      <c r="I6" s="73">
        <v>20</v>
      </c>
      <c r="J6" s="73"/>
      <c r="K6" s="73" t="s">
        <v>49</v>
      </c>
    </row>
    <row r="7" spans="1:14" x14ac:dyDescent="0.25">
      <c r="A7" s="203"/>
      <c r="B7" s="203"/>
      <c r="C7" s="72">
        <v>3.3</v>
      </c>
      <c r="D7" s="72">
        <v>6</v>
      </c>
      <c r="E7" s="72" t="str">
        <f t="shared" si="0"/>
        <v>6 - 3.3V GLDO 20ms 31bytes</v>
      </c>
      <c r="F7" s="72" t="s">
        <v>10</v>
      </c>
      <c r="G7" s="74">
        <v>20</v>
      </c>
      <c r="H7" s="73"/>
      <c r="I7" s="73">
        <v>31</v>
      </c>
      <c r="J7" s="73"/>
      <c r="K7" s="73" t="s">
        <v>49</v>
      </c>
    </row>
    <row r="8" spans="1:14" x14ac:dyDescent="0.25">
      <c r="A8" s="203"/>
      <c r="B8" s="203"/>
      <c r="C8" s="72">
        <v>3.3</v>
      </c>
      <c r="D8" s="72">
        <v>7</v>
      </c>
      <c r="E8" s="72" t="str">
        <f t="shared" si="0"/>
        <v>7 - 3.3V DCDC 100ms 3bytes</v>
      </c>
      <c r="F8" s="74" t="s">
        <v>37</v>
      </c>
      <c r="G8" s="72">
        <v>100</v>
      </c>
      <c r="H8" s="73"/>
      <c r="I8" s="72">
        <v>3</v>
      </c>
      <c r="J8" s="73"/>
      <c r="K8" s="73" t="s">
        <v>49</v>
      </c>
    </row>
    <row r="9" spans="1:14" x14ac:dyDescent="0.25">
      <c r="A9" s="203"/>
      <c r="B9" s="203"/>
      <c r="C9" s="72">
        <v>3.3</v>
      </c>
      <c r="D9" s="72">
        <v>8</v>
      </c>
      <c r="E9" s="72" t="str">
        <f t="shared" si="0"/>
        <v>8 - 3.3V DCDC 100ms 20bytes</v>
      </c>
      <c r="F9" s="74" t="s">
        <v>37</v>
      </c>
      <c r="G9" s="72">
        <v>100</v>
      </c>
      <c r="H9" s="73"/>
      <c r="I9" s="73">
        <v>20</v>
      </c>
      <c r="J9" s="73"/>
      <c r="K9" s="73" t="s">
        <v>49</v>
      </c>
    </row>
    <row r="10" spans="1:14" x14ac:dyDescent="0.25">
      <c r="A10" s="203"/>
      <c r="B10" s="203"/>
      <c r="C10" s="72">
        <v>3.3</v>
      </c>
      <c r="D10" s="72">
        <v>9</v>
      </c>
      <c r="E10" s="72" t="str">
        <f t="shared" si="0"/>
        <v>9 - 3.3V DCDC 100ms 31bytes</v>
      </c>
      <c r="F10" s="74" t="s">
        <v>37</v>
      </c>
      <c r="G10" s="72">
        <v>100</v>
      </c>
      <c r="H10" s="73"/>
      <c r="I10" s="73">
        <v>31</v>
      </c>
      <c r="J10" s="73"/>
      <c r="K10" s="73" t="s">
        <v>49</v>
      </c>
    </row>
    <row r="11" spans="1:14" x14ac:dyDescent="0.25">
      <c r="A11" s="203"/>
      <c r="B11" s="203"/>
      <c r="C11" s="72">
        <v>3.3</v>
      </c>
      <c r="D11" s="72">
        <v>10</v>
      </c>
      <c r="E11" s="72" t="str">
        <f t="shared" si="0"/>
        <v>10 - 3.3V DCDC 20ms 3bytes</v>
      </c>
      <c r="F11" s="74" t="s">
        <v>37</v>
      </c>
      <c r="G11" s="74">
        <v>20</v>
      </c>
      <c r="H11" s="73"/>
      <c r="I11" s="72">
        <v>3</v>
      </c>
      <c r="J11" s="73"/>
      <c r="K11" s="73" t="s">
        <v>49</v>
      </c>
    </row>
    <row r="12" spans="1:14" x14ac:dyDescent="0.25">
      <c r="A12" s="203"/>
      <c r="B12" s="203"/>
      <c r="C12" s="72">
        <v>3.3</v>
      </c>
      <c r="D12" s="72">
        <v>11</v>
      </c>
      <c r="E12" s="72" t="str">
        <f t="shared" si="0"/>
        <v>11 - 3.3V DCDC 20ms 20bytes</v>
      </c>
      <c r="F12" s="74" t="s">
        <v>37</v>
      </c>
      <c r="G12" s="74">
        <v>20</v>
      </c>
      <c r="H12" s="73"/>
      <c r="I12" s="73">
        <v>20</v>
      </c>
      <c r="J12" s="73"/>
      <c r="K12" s="73" t="s">
        <v>49</v>
      </c>
    </row>
    <row r="13" spans="1:14" x14ac:dyDescent="0.25">
      <c r="A13" s="203"/>
      <c r="B13" s="203"/>
      <c r="C13" s="72">
        <v>3.3</v>
      </c>
      <c r="D13" s="72">
        <v>12</v>
      </c>
      <c r="E13" s="72" t="str">
        <f t="shared" si="0"/>
        <v>12 - 3.3V DCDC 20ms 31bytes</v>
      </c>
      <c r="F13" s="74" t="s">
        <v>37</v>
      </c>
      <c r="G13" s="74">
        <v>20</v>
      </c>
      <c r="H13" s="73"/>
      <c r="I13" s="73">
        <v>31</v>
      </c>
      <c r="J13" s="73"/>
      <c r="K13" s="73" t="s">
        <v>49</v>
      </c>
    </row>
    <row r="14" spans="1:14" x14ac:dyDescent="0.25">
      <c r="A14" s="203"/>
      <c r="B14" s="203"/>
      <c r="C14" s="72">
        <v>3</v>
      </c>
      <c r="D14" s="72">
        <v>13</v>
      </c>
      <c r="E14" s="72" t="str">
        <f t="shared" si="0"/>
        <v>13 - 3V GLDO 100ms 3bytes</v>
      </c>
      <c r="F14" s="72" t="s">
        <v>10</v>
      </c>
      <c r="G14" s="72">
        <v>100</v>
      </c>
      <c r="H14" s="72"/>
      <c r="I14" s="72">
        <v>3</v>
      </c>
      <c r="J14" s="73"/>
      <c r="K14" s="73" t="s">
        <v>49</v>
      </c>
    </row>
    <row r="15" spans="1:14" x14ac:dyDescent="0.25">
      <c r="A15" s="203"/>
      <c r="B15" s="203"/>
      <c r="C15" s="72">
        <v>3</v>
      </c>
      <c r="D15" s="72">
        <v>14</v>
      </c>
      <c r="E15" s="72" t="str">
        <f t="shared" si="0"/>
        <v>14 - 3V GLDO 100ms 20bytes</v>
      </c>
      <c r="F15" s="72" t="s">
        <v>10</v>
      </c>
      <c r="G15" s="72">
        <v>100</v>
      </c>
      <c r="H15" s="73"/>
      <c r="I15" s="73">
        <v>20</v>
      </c>
      <c r="J15" s="73"/>
      <c r="K15" s="73" t="s">
        <v>49</v>
      </c>
    </row>
    <row r="16" spans="1:14" x14ac:dyDescent="0.25">
      <c r="A16" s="203"/>
      <c r="B16" s="203"/>
      <c r="C16" s="72">
        <v>3</v>
      </c>
      <c r="D16" s="72">
        <v>15</v>
      </c>
      <c r="E16" s="72" t="str">
        <f t="shared" si="0"/>
        <v>15 - 3V GLDO 100ms 31bytes</v>
      </c>
      <c r="F16" s="72" t="s">
        <v>10</v>
      </c>
      <c r="G16" s="72">
        <v>100</v>
      </c>
      <c r="H16" s="73"/>
      <c r="I16" s="73">
        <v>31</v>
      </c>
      <c r="J16" s="73"/>
      <c r="K16" s="73" t="s">
        <v>49</v>
      </c>
    </row>
    <row r="17" spans="1:11" x14ac:dyDescent="0.25">
      <c r="A17" s="203"/>
      <c r="B17" s="203"/>
      <c r="C17" s="72">
        <v>3</v>
      </c>
      <c r="D17" s="72">
        <v>16</v>
      </c>
      <c r="E17" s="72" t="str">
        <f t="shared" si="0"/>
        <v>16 - 3V GLDO 20ms 3bytes</v>
      </c>
      <c r="F17" s="72" t="s">
        <v>10</v>
      </c>
      <c r="G17" s="74">
        <v>20</v>
      </c>
      <c r="H17" s="73"/>
      <c r="I17" s="72">
        <v>3</v>
      </c>
      <c r="J17" s="73"/>
      <c r="K17" s="73" t="s">
        <v>49</v>
      </c>
    </row>
    <row r="18" spans="1:11" x14ac:dyDescent="0.25">
      <c r="A18" s="203"/>
      <c r="B18" s="203"/>
      <c r="C18" s="72">
        <v>3</v>
      </c>
      <c r="D18" s="72">
        <v>17</v>
      </c>
      <c r="E18" s="72" t="str">
        <f t="shared" si="0"/>
        <v>17 - 3V GLDO 20ms 20bytes</v>
      </c>
      <c r="F18" s="72" t="s">
        <v>10</v>
      </c>
      <c r="G18" s="74">
        <v>20</v>
      </c>
      <c r="H18" s="73"/>
      <c r="I18" s="73">
        <v>20</v>
      </c>
      <c r="J18" s="73"/>
      <c r="K18" s="73" t="s">
        <v>49</v>
      </c>
    </row>
    <row r="19" spans="1:11" x14ac:dyDescent="0.25">
      <c r="A19" s="203"/>
      <c r="B19" s="203"/>
      <c r="C19" s="72">
        <v>3</v>
      </c>
      <c r="D19" s="72">
        <v>18</v>
      </c>
      <c r="E19" s="72" t="str">
        <f t="shared" si="0"/>
        <v>18 - 3V GLDO 20ms 31bytes</v>
      </c>
      <c r="F19" s="72" t="s">
        <v>10</v>
      </c>
      <c r="G19" s="74">
        <v>20</v>
      </c>
      <c r="H19" s="73"/>
      <c r="I19" s="73">
        <v>31</v>
      </c>
      <c r="J19" s="73"/>
      <c r="K19" s="73" t="s">
        <v>49</v>
      </c>
    </row>
    <row r="20" spans="1:11" x14ac:dyDescent="0.25">
      <c r="A20" s="203"/>
      <c r="B20" s="203"/>
      <c r="C20" s="72">
        <v>3</v>
      </c>
      <c r="D20" s="72">
        <v>19</v>
      </c>
      <c r="E20" s="72" t="str">
        <f t="shared" si="0"/>
        <v>19 - 3V DCDC 100ms 3bytes</v>
      </c>
      <c r="F20" s="74" t="s">
        <v>37</v>
      </c>
      <c r="G20" s="72">
        <v>100</v>
      </c>
      <c r="H20" s="73"/>
      <c r="I20" s="72">
        <v>3</v>
      </c>
      <c r="J20" s="73"/>
      <c r="K20" s="73" t="s">
        <v>49</v>
      </c>
    </row>
    <row r="21" spans="1:11" x14ac:dyDescent="0.25">
      <c r="A21" s="203"/>
      <c r="B21" s="203"/>
      <c r="C21" s="72">
        <v>3</v>
      </c>
      <c r="D21" s="72">
        <v>20</v>
      </c>
      <c r="E21" s="72" t="str">
        <f t="shared" si="0"/>
        <v>20 - 3V DCDC 100ms 20bytes</v>
      </c>
      <c r="F21" s="74" t="s">
        <v>37</v>
      </c>
      <c r="G21" s="72">
        <v>100</v>
      </c>
      <c r="H21" s="73"/>
      <c r="I21" s="73">
        <v>20</v>
      </c>
      <c r="J21" s="73"/>
      <c r="K21" s="73" t="s">
        <v>49</v>
      </c>
    </row>
    <row r="22" spans="1:11" x14ac:dyDescent="0.25">
      <c r="A22" s="203"/>
      <c r="B22" s="203"/>
      <c r="C22" s="72">
        <v>3</v>
      </c>
      <c r="D22" s="72">
        <v>21</v>
      </c>
      <c r="E22" s="72" t="str">
        <f t="shared" si="0"/>
        <v>21 - 3V DCDC 100ms 31bytes</v>
      </c>
      <c r="F22" s="74" t="s">
        <v>37</v>
      </c>
      <c r="G22" s="72">
        <v>100</v>
      </c>
      <c r="H22" s="73"/>
      <c r="I22" s="73">
        <v>31</v>
      </c>
      <c r="J22" s="73"/>
      <c r="K22" s="73" t="s">
        <v>49</v>
      </c>
    </row>
    <row r="23" spans="1:11" x14ac:dyDescent="0.25">
      <c r="A23" s="203"/>
      <c r="B23" s="203"/>
      <c r="C23" s="72">
        <v>3</v>
      </c>
      <c r="D23" s="72">
        <v>22</v>
      </c>
      <c r="E23" s="72" t="str">
        <f t="shared" si="0"/>
        <v>22 - 3V DCDC 20ms 3bytes</v>
      </c>
      <c r="F23" s="74" t="s">
        <v>37</v>
      </c>
      <c r="G23" s="74">
        <v>20</v>
      </c>
      <c r="H23" s="73"/>
      <c r="I23" s="72">
        <v>3</v>
      </c>
      <c r="J23" s="73"/>
      <c r="K23" s="73" t="s">
        <v>49</v>
      </c>
    </row>
    <row r="24" spans="1:11" x14ac:dyDescent="0.25">
      <c r="A24" s="203"/>
      <c r="B24" s="203"/>
      <c r="C24" s="72">
        <v>3</v>
      </c>
      <c r="D24" s="72">
        <v>23</v>
      </c>
      <c r="E24" s="72" t="str">
        <f t="shared" si="0"/>
        <v>23 - 3V DCDC 20ms 20bytes</v>
      </c>
      <c r="F24" s="74" t="s">
        <v>37</v>
      </c>
      <c r="G24" s="74">
        <v>20</v>
      </c>
      <c r="H24" s="73"/>
      <c r="I24" s="73">
        <v>20</v>
      </c>
      <c r="J24" s="73"/>
      <c r="K24" s="73" t="s">
        <v>49</v>
      </c>
    </row>
    <row r="25" spans="1:11" x14ac:dyDescent="0.25">
      <c r="A25" s="203"/>
      <c r="B25" s="203"/>
      <c r="C25" s="72">
        <v>3</v>
      </c>
      <c r="D25" s="72">
        <v>24</v>
      </c>
      <c r="E25" s="72" t="str">
        <f t="shared" si="0"/>
        <v>24 - 3V DCDC 20ms 31bytes</v>
      </c>
      <c r="F25" s="74" t="s">
        <v>37</v>
      </c>
      <c r="G25" s="74">
        <v>20</v>
      </c>
      <c r="H25" s="73"/>
      <c r="I25" s="73">
        <v>31</v>
      </c>
      <c r="J25" s="73"/>
      <c r="K25" s="73" t="s">
        <v>49</v>
      </c>
    </row>
  </sheetData>
  <mergeCells count="2">
    <mergeCell ref="A2:A25"/>
    <mergeCell ref="B2:B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README</vt:lpstr>
      <vt:lpstr>BLE</vt:lpstr>
      <vt:lpstr>CC23XX Power Computation Sheet</vt:lpstr>
      <vt:lpstr>CC2745R10 Peripheral Con GLDO</vt:lpstr>
      <vt:lpstr>Graph values</vt:lpstr>
      <vt:lpstr>CC2745R10 GLDO</vt:lpstr>
      <vt:lpstr>CC2745R10 DCDC</vt:lpstr>
      <vt:lpstr>CC2745R10 Peripheral Con DCDC</vt:lpstr>
      <vt:lpstr>Data Collection Plan</vt:lpstr>
      <vt:lpstr>CC2745R10 Central scan DCDC</vt:lpstr>
      <vt:lpstr>CC2745R10 Central Connect DCDC</vt:lpstr>
      <vt:lpstr>Data For Display</vt:lpstr>
    </vt:vector>
  </TitlesOfParts>
  <Company>Texas Instruments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Ramos, Cashmere</dc:creator>
  <cp:lastModifiedBy>Ramos, Cashmere</cp:lastModifiedBy>
  <dcterms:created xsi:type="dcterms:W3CDTF">2024-04-11T12:38:31Z</dcterms:created>
  <dcterms:modified xsi:type="dcterms:W3CDTF">2026-01-30T13:09:58Z</dcterms:modified>
</cp:coreProperties>
</file>